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صندوق بازارگردانی\گزارش ماهانه\"/>
    </mc:Choice>
  </mc:AlternateContent>
  <bookViews>
    <workbookView xWindow="0" yWindow="0" windowWidth="24000" windowHeight="9735" firstSheet="7" activeTab="12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کفایت سرمایه" sheetId="17" r:id="rId13"/>
  </sheets>
  <externalReferences>
    <externalReference r:id="rId14"/>
  </externalReferences>
  <definedNames>
    <definedName name="_xlnm.Print_Area" localSheetId="1">' سهام و صندوق‌های سرمایه‌گذاری'!$A$1:$M$96</definedName>
    <definedName name="_xlnm.Print_Area" localSheetId="0">'1'!$A$1:$I$27</definedName>
    <definedName name="_xlnm.Print_Area" localSheetId="2">اوراق!$A$1:$S$19</definedName>
    <definedName name="_xlnm.Print_Area" localSheetId="11">'درآمد سپرده بانکی'!$A$1:$F$74</definedName>
    <definedName name="_xlnm.Print_Area" localSheetId="10">'درآمد سرمایه گذاری در اوراق بها'!$A$1:$I$39</definedName>
    <definedName name="_xlnm.Print_Area" localSheetId="9">'درآمد سرمایه گذاری در سهام و ص '!$A$1:$K$102</definedName>
    <definedName name="_xlnm.Print_Area" localSheetId="5">'درآمد سود سهام'!$A$1:$M$20</definedName>
    <definedName name="_xlnm.Print_Area" localSheetId="8">'درآمد ناشی از تغییر قیمت اوراق '!$A$1:$K$104</definedName>
    <definedName name="_xlnm.Print_Area" localSheetId="7">'درآمد ناشی ازفروش'!$A$1:$K$116</definedName>
    <definedName name="_xlnm.Print_Area" localSheetId="4">درآمدها!$A$1:$S$10</definedName>
    <definedName name="_xlnm.Print_Area" localSheetId="3">سپرده!$A$1:$H$88</definedName>
    <definedName name="_xlnm.Print_Area" localSheetId="6">'سود اوراق بهادار و سپرده بانکی'!$A$1:$J$81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C9" i="17"/>
  <c r="B9" i="17"/>
  <c r="D7" i="17"/>
  <c r="C7" i="17"/>
  <c r="B7" i="17"/>
  <c r="D6" i="17"/>
  <c r="C6" i="17"/>
  <c r="B6" i="17"/>
  <c r="B8" i="17" s="1"/>
  <c r="B10" i="17" s="1"/>
  <c r="D4" i="17"/>
  <c r="C4" i="17"/>
  <c r="B4" i="17"/>
  <c r="D3" i="17"/>
  <c r="C3" i="17"/>
  <c r="B3" i="17"/>
  <c r="B11" i="17" s="1"/>
  <c r="A1" i="17"/>
  <c r="D5" i="17" l="1"/>
  <c r="D8" i="17"/>
  <c r="D10" i="17" s="1"/>
  <c r="C5" i="17"/>
  <c r="C8" i="17"/>
  <c r="C10" i="17" s="1"/>
  <c r="D12" i="17"/>
  <c r="B5" i="17"/>
  <c r="B12" i="17" s="1"/>
  <c r="F102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E39" i="6"/>
  <c r="E10" i="11"/>
  <c r="D10" i="11"/>
  <c r="C9" i="11"/>
  <c r="C8" i="11"/>
  <c r="C11" i="17" l="1"/>
  <c r="D74" i="7"/>
  <c r="B74" i="7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0" i="6"/>
  <c r="B39" i="6"/>
  <c r="C39" i="6"/>
  <c r="D39" i="6"/>
  <c r="F39" i="6"/>
  <c r="G39" i="6"/>
  <c r="H39" i="6"/>
  <c r="D102" i="5"/>
  <c r="H102" i="5"/>
  <c r="C102" i="5"/>
  <c r="C10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9" i="5"/>
  <c r="K69" i="5" s="1"/>
  <c r="J70" i="5"/>
  <c r="K70" i="5" s="1"/>
  <c r="J71" i="5"/>
  <c r="K71" i="5" s="1"/>
  <c r="J72" i="5"/>
  <c r="K72" i="5" s="1"/>
  <c r="J73" i="5"/>
  <c r="K73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98" i="5"/>
  <c r="K98" i="5" s="1"/>
  <c r="J99" i="5"/>
  <c r="K99" i="5" s="1"/>
  <c r="J100" i="5"/>
  <c r="K100" i="5" s="1"/>
  <c r="J101" i="5"/>
  <c r="K101" i="5" s="1"/>
  <c r="E12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I73" i="5"/>
  <c r="I44" i="5"/>
  <c r="J44" i="5" s="1"/>
  <c r="K44" i="5" s="1"/>
  <c r="I32" i="5"/>
  <c r="G32" i="5"/>
  <c r="I34" i="5"/>
  <c r="J34" i="5" s="1"/>
  <c r="K34" i="5" s="1"/>
  <c r="I53" i="5"/>
  <c r="I67" i="5"/>
  <c r="G67" i="5"/>
  <c r="J67" i="5" s="1"/>
  <c r="K67" i="5" s="1"/>
  <c r="I82" i="5"/>
  <c r="G82" i="5"/>
  <c r="J82" i="5" s="1"/>
  <c r="K82" i="5" s="1"/>
  <c r="I33" i="5"/>
  <c r="G33" i="5"/>
  <c r="I43" i="5"/>
  <c r="I13" i="5"/>
  <c r="G13" i="5"/>
  <c r="I66" i="5"/>
  <c r="G66" i="5"/>
  <c r="I68" i="5"/>
  <c r="J68" i="5" s="1"/>
  <c r="K68" i="5" s="1"/>
  <c r="I12" i="5"/>
  <c r="J12" i="5" s="1"/>
  <c r="K12" i="5" s="1"/>
  <c r="I74" i="5"/>
  <c r="G74" i="5"/>
  <c r="B53" i="5"/>
  <c r="B13" i="5"/>
  <c r="B102" i="5" s="1"/>
  <c r="B103" i="5" s="1"/>
  <c r="H102" i="14"/>
  <c r="C102" i="14"/>
  <c r="F11" i="14"/>
  <c r="F12" i="14"/>
  <c r="F17" i="14"/>
  <c r="F18" i="14"/>
  <c r="F23" i="14"/>
  <c r="F24" i="14"/>
  <c r="F29" i="14"/>
  <c r="F30" i="14"/>
  <c r="F35" i="14"/>
  <c r="F36" i="14"/>
  <c r="F41" i="14"/>
  <c r="F42" i="14"/>
  <c r="F47" i="14"/>
  <c r="F48" i="14"/>
  <c r="F53" i="14"/>
  <c r="F54" i="14"/>
  <c r="F59" i="14"/>
  <c r="F60" i="14"/>
  <c r="F65" i="14"/>
  <c r="F66" i="14"/>
  <c r="F71" i="14"/>
  <c r="F72" i="14"/>
  <c r="F77" i="14"/>
  <c r="F78" i="14"/>
  <c r="F83" i="14"/>
  <c r="F84" i="14"/>
  <c r="F86" i="14"/>
  <c r="F89" i="14"/>
  <c r="F90" i="14"/>
  <c r="F92" i="14"/>
  <c r="F95" i="14"/>
  <c r="F96" i="14"/>
  <c r="F98" i="14"/>
  <c r="F101" i="14"/>
  <c r="I8" i="14"/>
  <c r="K8" i="14" s="1"/>
  <c r="I9" i="14"/>
  <c r="K9" i="14" s="1"/>
  <c r="I10" i="14"/>
  <c r="K10" i="14" s="1"/>
  <c r="I11" i="14"/>
  <c r="K11" i="14" s="1"/>
  <c r="I12" i="14"/>
  <c r="K12" i="14" s="1"/>
  <c r="I13" i="14"/>
  <c r="K13" i="14" s="1"/>
  <c r="I14" i="14"/>
  <c r="K14" i="14" s="1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I31" i="14"/>
  <c r="K31" i="14" s="1"/>
  <c r="I32" i="14"/>
  <c r="K32" i="14" s="1"/>
  <c r="I33" i="14"/>
  <c r="K33" i="14" s="1"/>
  <c r="I34" i="14"/>
  <c r="K34" i="14" s="1"/>
  <c r="I35" i="14"/>
  <c r="K35" i="14" s="1"/>
  <c r="I36" i="14"/>
  <c r="K36" i="14" s="1"/>
  <c r="I37" i="14"/>
  <c r="K37" i="14" s="1"/>
  <c r="I38" i="14"/>
  <c r="K38" i="14" s="1"/>
  <c r="I39" i="14"/>
  <c r="K39" i="14" s="1"/>
  <c r="I40" i="14"/>
  <c r="K40" i="14" s="1"/>
  <c r="I41" i="14"/>
  <c r="K41" i="14" s="1"/>
  <c r="I42" i="14"/>
  <c r="K42" i="14" s="1"/>
  <c r="I43" i="14"/>
  <c r="K43" i="14" s="1"/>
  <c r="I44" i="14"/>
  <c r="K44" i="14" s="1"/>
  <c r="I45" i="14"/>
  <c r="K45" i="14" s="1"/>
  <c r="I46" i="14"/>
  <c r="K46" i="14" s="1"/>
  <c r="I47" i="14"/>
  <c r="K47" i="14" s="1"/>
  <c r="I48" i="14"/>
  <c r="K48" i="14" s="1"/>
  <c r="I49" i="14"/>
  <c r="K49" i="14" s="1"/>
  <c r="I50" i="14"/>
  <c r="K50" i="14" s="1"/>
  <c r="I51" i="14"/>
  <c r="K51" i="14" s="1"/>
  <c r="I52" i="14"/>
  <c r="K52" i="14" s="1"/>
  <c r="I53" i="14"/>
  <c r="K53" i="14" s="1"/>
  <c r="I54" i="14"/>
  <c r="K54" i="14" s="1"/>
  <c r="I55" i="14"/>
  <c r="K55" i="14" s="1"/>
  <c r="I56" i="14"/>
  <c r="K56" i="14" s="1"/>
  <c r="I57" i="14"/>
  <c r="K57" i="14" s="1"/>
  <c r="I58" i="14"/>
  <c r="K58" i="14" s="1"/>
  <c r="I59" i="14"/>
  <c r="K59" i="14" s="1"/>
  <c r="I60" i="14"/>
  <c r="K60" i="14" s="1"/>
  <c r="I61" i="14"/>
  <c r="K61" i="14" s="1"/>
  <c r="I62" i="14"/>
  <c r="K62" i="14" s="1"/>
  <c r="I63" i="14"/>
  <c r="K63" i="14" s="1"/>
  <c r="I64" i="14"/>
  <c r="K64" i="14" s="1"/>
  <c r="I65" i="14"/>
  <c r="K65" i="14" s="1"/>
  <c r="I66" i="14"/>
  <c r="K66" i="14" s="1"/>
  <c r="I67" i="14"/>
  <c r="K67" i="14" s="1"/>
  <c r="I68" i="14"/>
  <c r="K68" i="14" s="1"/>
  <c r="I69" i="14"/>
  <c r="K69" i="14" s="1"/>
  <c r="I70" i="14"/>
  <c r="K70" i="14" s="1"/>
  <c r="I71" i="14"/>
  <c r="K71" i="14" s="1"/>
  <c r="I72" i="14"/>
  <c r="K72" i="14" s="1"/>
  <c r="I73" i="14"/>
  <c r="K73" i="14" s="1"/>
  <c r="I74" i="14"/>
  <c r="K74" i="14" s="1"/>
  <c r="I75" i="14"/>
  <c r="K75" i="14" s="1"/>
  <c r="I76" i="14"/>
  <c r="K76" i="14" s="1"/>
  <c r="I77" i="14"/>
  <c r="K77" i="14" s="1"/>
  <c r="I78" i="14"/>
  <c r="K78" i="14" s="1"/>
  <c r="I79" i="14"/>
  <c r="K79" i="14" s="1"/>
  <c r="I80" i="14"/>
  <c r="K80" i="14" s="1"/>
  <c r="I81" i="14"/>
  <c r="K81" i="14" s="1"/>
  <c r="I82" i="14"/>
  <c r="K82" i="14" s="1"/>
  <c r="I83" i="14"/>
  <c r="K83" i="14" s="1"/>
  <c r="I84" i="14"/>
  <c r="K84" i="14" s="1"/>
  <c r="I85" i="14"/>
  <c r="K85" i="14" s="1"/>
  <c r="I86" i="14"/>
  <c r="K86" i="14" s="1"/>
  <c r="I87" i="14"/>
  <c r="K87" i="14" s="1"/>
  <c r="I88" i="14"/>
  <c r="K88" i="14" s="1"/>
  <c r="I89" i="14"/>
  <c r="K89" i="14" s="1"/>
  <c r="I90" i="14"/>
  <c r="K90" i="14" s="1"/>
  <c r="I91" i="14"/>
  <c r="K91" i="14" s="1"/>
  <c r="I92" i="14"/>
  <c r="K92" i="14" s="1"/>
  <c r="I93" i="14"/>
  <c r="K93" i="14" s="1"/>
  <c r="I94" i="14"/>
  <c r="K94" i="14" s="1"/>
  <c r="I95" i="14"/>
  <c r="K95" i="14" s="1"/>
  <c r="I96" i="14"/>
  <c r="K96" i="14" s="1"/>
  <c r="I97" i="14"/>
  <c r="K97" i="14" s="1"/>
  <c r="I98" i="14"/>
  <c r="K98" i="14" s="1"/>
  <c r="I99" i="14"/>
  <c r="K99" i="14" s="1"/>
  <c r="I100" i="14"/>
  <c r="K100" i="14" s="1"/>
  <c r="I101" i="14"/>
  <c r="K101" i="14" s="1"/>
  <c r="D8" i="14"/>
  <c r="F8" i="14" s="1"/>
  <c r="D9" i="14"/>
  <c r="F9" i="14" s="1"/>
  <c r="D10" i="14"/>
  <c r="F10" i="14" s="1"/>
  <c r="D11" i="14"/>
  <c r="D12" i="14"/>
  <c r="D13" i="14"/>
  <c r="F13" i="14" s="1"/>
  <c r="D14" i="14"/>
  <c r="F14" i="14" s="1"/>
  <c r="D15" i="14"/>
  <c r="F15" i="14" s="1"/>
  <c r="D16" i="14"/>
  <c r="F16" i="14" s="1"/>
  <c r="D17" i="14"/>
  <c r="D18" i="14"/>
  <c r="D19" i="14"/>
  <c r="F19" i="14" s="1"/>
  <c r="D20" i="14"/>
  <c r="F20" i="14" s="1"/>
  <c r="D21" i="14"/>
  <c r="F21" i="14" s="1"/>
  <c r="D22" i="14"/>
  <c r="F22" i="14" s="1"/>
  <c r="D23" i="14"/>
  <c r="D24" i="14"/>
  <c r="D25" i="14"/>
  <c r="F25" i="14" s="1"/>
  <c r="D26" i="14"/>
  <c r="F26" i="14" s="1"/>
  <c r="D27" i="14"/>
  <c r="F27" i="14" s="1"/>
  <c r="D28" i="14"/>
  <c r="F28" i="14" s="1"/>
  <c r="D29" i="14"/>
  <c r="D30" i="14"/>
  <c r="D31" i="14"/>
  <c r="F31" i="14" s="1"/>
  <c r="D32" i="14"/>
  <c r="F32" i="14" s="1"/>
  <c r="D33" i="14"/>
  <c r="F33" i="14" s="1"/>
  <c r="D34" i="14"/>
  <c r="F34" i="14" s="1"/>
  <c r="D35" i="14"/>
  <c r="D36" i="14"/>
  <c r="D37" i="14"/>
  <c r="F37" i="14" s="1"/>
  <c r="D38" i="14"/>
  <c r="F38" i="14" s="1"/>
  <c r="D39" i="14"/>
  <c r="F39" i="14" s="1"/>
  <c r="D40" i="14"/>
  <c r="F40" i="14" s="1"/>
  <c r="D41" i="14"/>
  <c r="D42" i="14"/>
  <c r="D43" i="14"/>
  <c r="F43" i="14" s="1"/>
  <c r="D44" i="14"/>
  <c r="F44" i="14" s="1"/>
  <c r="D45" i="14"/>
  <c r="F45" i="14" s="1"/>
  <c r="D46" i="14"/>
  <c r="F46" i="14" s="1"/>
  <c r="D47" i="14"/>
  <c r="D48" i="14"/>
  <c r="D49" i="14"/>
  <c r="F49" i="14" s="1"/>
  <c r="D50" i="14"/>
  <c r="F50" i="14" s="1"/>
  <c r="D51" i="14"/>
  <c r="F51" i="14" s="1"/>
  <c r="D52" i="14"/>
  <c r="F52" i="14" s="1"/>
  <c r="D53" i="14"/>
  <c r="D54" i="14"/>
  <c r="D55" i="14"/>
  <c r="F55" i="14" s="1"/>
  <c r="D56" i="14"/>
  <c r="F56" i="14" s="1"/>
  <c r="D57" i="14"/>
  <c r="F57" i="14" s="1"/>
  <c r="D58" i="14"/>
  <c r="F58" i="14" s="1"/>
  <c r="D59" i="14"/>
  <c r="D60" i="14"/>
  <c r="D61" i="14"/>
  <c r="F61" i="14" s="1"/>
  <c r="D62" i="14"/>
  <c r="F62" i="14" s="1"/>
  <c r="D63" i="14"/>
  <c r="F63" i="14" s="1"/>
  <c r="D64" i="14"/>
  <c r="F64" i="14" s="1"/>
  <c r="D65" i="14"/>
  <c r="D66" i="14"/>
  <c r="D67" i="14"/>
  <c r="F67" i="14" s="1"/>
  <c r="D68" i="14"/>
  <c r="F68" i="14" s="1"/>
  <c r="D69" i="14"/>
  <c r="F69" i="14" s="1"/>
  <c r="D70" i="14"/>
  <c r="F70" i="14" s="1"/>
  <c r="D71" i="14"/>
  <c r="D72" i="14"/>
  <c r="D73" i="14"/>
  <c r="F73" i="14" s="1"/>
  <c r="D74" i="14"/>
  <c r="F74" i="14" s="1"/>
  <c r="D75" i="14"/>
  <c r="F75" i="14" s="1"/>
  <c r="D76" i="14"/>
  <c r="F76" i="14" s="1"/>
  <c r="D77" i="14"/>
  <c r="D78" i="14"/>
  <c r="D79" i="14"/>
  <c r="F79" i="14" s="1"/>
  <c r="D80" i="14"/>
  <c r="F80" i="14" s="1"/>
  <c r="D81" i="14"/>
  <c r="F81" i="14" s="1"/>
  <c r="D82" i="14"/>
  <c r="F82" i="14" s="1"/>
  <c r="D83" i="14"/>
  <c r="D84" i="14"/>
  <c r="D85" i="14"/>
  <c r="F85" i="14" s="1"/>
  <c r="D86" i="14"/>
  <c r="D87" i="14"/>
  <c r="F87" i="14" s="1"/>
  <c r="D88" i="14"/>
  <c r="F88" i="14" s="1"/>
  <c r="D89" i="14"/>
  <c r="D90" i="14"/>
  <c r="D91" i="14"/>
  <c r="F91" i="14" s="1"/>
  <c r="D92" i="14"/>
  <c r="D93" i="14"/>
  <c r="F93" i="14" s="1"/>
  <c r="D94" i="14"/>
  <c r="F94" i="14" s="1"/>
  <c r="D95" i="14"/>
  <c r="D96" i="14"/>
  <c r="D97" i="14"/>
  <c r="F97" i="14" s="1"/>
  <c r="D98" i="14"/>
  <c r="D99" i="14"/>
  <c r="F99" i="14" s="1"/>
  <c r="D100" i="14"/>
  <c r="F100" i="14" s="1"/>
  <c r="D101" i="14"/>
  <c r="H82" i="15"/>
  <c r="H81" i="15"/>
  <c r="H75" i="15"/>
  <c r="H73" i="15"/>
  <c r="H70" i="15"/>
  <c r="H61" i="15"/>
  <c r="H41" i="15"/>
  <c r="H40" i="15"/>
  <c r="H37" i="15"/>
  <c r="H35" i="15"/>
  <c r="H32" i="15"/>
  <c r="H19" i="15"/>
  <c r="H16" i="15"/>
  <c r="H13" i="15"/>
  <c r="F102" i="14" l="1"/>
  <c r="F103" i="14" s="1"/>
  <c r="K102" i="14"/>
  <c r="D102" i="14"/>
  <c r="K103" i="14"/>
  <c r="I102" i="14"/>
  <c r="J32" i="5"/>
  <c r="K32" i="5" s="1"/>
  <c r="J74" i="5"/>
  <c r="K74" i="5" s="1"/>
  <c r="J13" i="5"/>
  <c r="K13" i="5" s="1"/>
  <c r="I102" i="5"/>
  <c r="J33" i="5"/>
  <c r="K33" i="5" s="1"/>
  <c r="J66" i="5"/>
  <c r="K66" i="5" s="1"/>
  <c r="G102" i="5"/>
  <c r="G103" i="5" s="1"/>
  <c r="J53" i="5"/>
  <c r="K53" i="5" s="1"/>
  <c r="E13" i="5"/>
  <c r="I39" i="6"/>
  <c r="C115" i="15"/>
  <c r="E115" i="15"/>
  <c r="H115" i="15"/>
  <c r="I8" i="15"/>
  <c r="I9" i="15"/>
  <c r="K9" i="15" s="1"/>
  <c r="I10" i="15"/>
  <c r="K10" i="15" s="1"/>
  <c r="I11" i="15"/>
  <c r="K11" i="15" s="1"/>
  <c r="I12" i="15"/>
  <c r="K12" i="15" s="1"/>
  <c r="I13" i="15"/>
  <c r="K13" i="15" s="1"/>
  <c r="I14" i="15"/>
  <c r="K14" i="15" s="1"/>
  <c r="I15" i="15"/>
  <c r="K15" i="15" s="1"/>
  <c r="I16" i="15"/>
  <c r="K16" i="15" s="1"/>
  <c r="I17" i="15"/>
  <c r="K17" i="15" s="1"/>
  <c r="I18" i="15"/>
  <c r="K18" i="15" s="1"/>
  <c r="I19" i="15"/>
  <c r="K19" i="15" s="1"/>
  <c r="I20" i="15"/>
  <c r="K20" i="15" s="1"/>
  <c r="I21" i="15"/>
  <c r="K21" i="15" s="1"/>
  <c r="I22" i="15"/>
  <c r="K22" i="15" s="1"/>
  <c r="I23" i="15"/>
  <c r="K23" i="15" s="1"/>
  <c r="I24" i="15"/>
  <c r="K24" i="15" s="1"/>
  <c r="I25" i="15"/>
  <c r="K25" i="15" s="1"/>
  <c r="I26" i="15"/>
  <c r="K26" i="15" s="1"/>
  <c r="I27" i="15"/>
  <c r="K27" i="15" s="1"/>
  <c r="I28" i="15"/>
  <c r="K28" i="15" s="1"/>
  <c r="I29" i="15"/>
  <c r="K29" i="15" s="1"/>
  <c r="I30" i="15"/>
  <c r="K30" i="15" s="1"/>
  <c r="I31" i="15"/>
  <c r="K31" i="15" s="1"/>
  <c r="I32" i="15"/>
  <c r="K32" i="15" s="1"/>
  <c r="I33" i="15"/>
  <c r="K33" i="15" s="1"/>
  <c r="I34" i="15"/>
  <c r="K34" i="15" s="1"/>
  <c r="I35" i="15"/>
  <c r="K35" i="15" s="1"/>
  <c r="I36" i="15"/>
  <c r="K36" i="15" s="1"/>
  <c r="I37" i="15"/>
  <c r="K37" i="15" s="1"/>
  <c r="I38" i="15"/>
  <c r="K38" i="15" s="1"/>
  <c r="I39" i="15"/>
  <c r="K39" i="15" s="1"/>
  <c r="I40" i="15"/>
  <c r="K40" i="15" s="1"/>
  <c r="I41" i="15"/>
  <c r="K41" i="15" s="1"/>
  <c r="I42" i="15"/>
  <c r="K42" i="15" s="1"/>
  <c r="I43" i="15"/>
  <c r="K43" i="15" s="1"/>
  <c r="I44" i="15"/>
  <c r="K44" i="15" s="1"/>
  <c r="I45" i="15"/>
  <c r="K45" i="15" s="1"/>
  <c r="I46" i="15"/>
  <c r="K46" i="15" s="1"/>
  <c r="I47" i="15"/>
  <c r="K47" i="15" s="1"/>
  <c r="I48" i="15"/>
  <c r="K48" i="15" s="1"/>
  <c r="I49" i="15"/>
  <c r="K49" i="15" s="1"/>
  <c r="I50" i="15"/>
  <c r="K50" i="15" s="1"/>
  <c r="I51" i="15"/>
  <c r="K51" i="15" s="1"/>
  <c r="I52" i="15"/>
  <c r="K52" i="15" s="1"/>
  <c r="I53" i="15"/>
  <c r="K53" i="15" s="1"/>
  <c r="I54" i="15"/>
  <c r="K54" i="15" s="1"/>
  <c r="I55" i="15"/>
  <c r="K55" i="15" s="1"/>
  <c r="I56" i="15"/>
  <c r="K56" i="15" s="1"/>
  <c r="I57" i="15"/>
  <c r="K57" i="15" s="1"/>
  <c r="I58" i="15"/>
  <c r="K58" i="15" s="1"/>
  <c r="I59" i="15"/>
  <c r="K59" i="15" s="1"/>
  <c r="I60" i="15"/>
  <c r="K60" i="15" s="1"/>
  <c r="I61" i="15"/>
  <c r="K61" i="15" s="1"/>
  <c r="I62" i="15"/>
  <c r="K62" i="15" s="1"/>
  <c r="I63" i="15"/>
  <c r="K63" i="15" s="1"/>
  <c r="I64" i="15"/>
  <c r="K64" i="15" s="1"/>
  <c r="I65" i="15"/>
  <c r="K65" i="15" s="1"/>
  <c r="I66" i="15"/>
  <c r="K66" i="15" s="1"/>
  <c r="I67" i="15"/>
  <c r="K67" i="15" s="1"/>
  <c r="I68" i="15"/>
  <c r="K68" i="15" s="1"/>
  <c r="I69" i="15"/>
  <c r="K69" i="15" s="1"/>
  <c r="I70" i="15"/>
  <c r="K70" i="15" s="1"/>
  <c r="I71" i="15"/>
  <c r="K71" i="15" s="1"/>
  <c r="I72" i="15"/>
  <c r="K72" i="15" s="1"/>
  <c r="I73" i="15"/>
  <c r="K73" i="15" s="1"/>
  <c r="I74" i="15"/>
  <c r="K74" i="15" s="1"/>
  <c r="I75" i="15"/>
  <c r="K75" i="15" s="1"/>
  <c r="I76" i="15"/>
  <c r="K76" i="15" s="1"/>
  <c r="I77" i="15"/>
  <c r="K77" i="15" s="1"/>
  <c r="I78" i="15"/>
  <c r="K78" i="15" s="1"/>
  <c r="I79" i="15"/>
  <c r="K79" i="15" s="1"/>
  <c r="I80" i="15"/>
  <c r="K80" i="15" s="1"/>
  <c r="I81" i="15"/>
  <c r="K81" i="15" s="1"/>
  <c r="I82" i="15"/>
  <c r="K82" i="15" s="1"/>
  <c r="I83" i="15"/>
  <c r="K83" i="15" s="1"/>
  <c r="I84" i="15"/>
  <c r="K84" i="15" s="1"/>
  <c r="I85" i="15"/>
  <c r="K85" i="15" s="1"/>
  <c r="I86" i="15"/>
  <c r="K86" i="15" s="1"/>
  <c r="I87" i="15"/>
  <c r="K87" i="15" s="1"/>
  <c r="I88" i="15"/>
  <c r="K88" i="15" s="1"/>
  <c r="I89" i="15"/>
  <c r="K89" i="15" s="1"/>
  <c r="I90" i="15"/>
  <c r="K90" i="15" s="1"/>
  <c r="I91" i="15"/>
  <c r="K91" i="15" s="1"/>
  <c r="I92" i="15"/>
  <c r="K92" i="15" s="1"/>
  <c r="I93" i="15"/>
  <c r="K93" i="15" s="1"/>
  <c r="I94" i="15"/>
  <c r="K94" i="15" s="1"/>
  <c r="I95" i="15"/>
  <c r="K95" i="15" s="1"/>
  <c r="I96" i="15"/>
  <c r="K96" i="15" s="1"/>
  <c r="I97" i="15"/>
  <c r="K97" i="15" s="1"/>
  <c r="I98" i="15"/>
  <c r="K98" i="15" s="1"/>
  <c r="I99" i="15"/>
  <c r="K99" i="15" s="1"/>
  <c r="I100" i="15"/>
  <c r="K100" i="15" s="1"/>
  <c r="I101" i="15"/>
  <c r="K101" i="15" s="1"/>
  <c r="I102" i="15"/>
  <c r="K102" i="15" s="1"/>
  <c r="I103" i="15"/>
  <c r="K103" i="15" s="1"/>
  <c r="I104" i="15"/>
  <c r="K104" i="15" s="1"/>
  <c r="I105" i="15"/>
  <c r="K105" i="15" s="1"/>
  <c r="I106" i="15"/>
  <c r="K106" i="15" s="1"/>
  <c r="I107" i="15"/>
  <c r="K107" i="15" s="1"/>
  <c r="I108" i="15"/>
  <c r="K108" i="15" s="1"/>
  <c r="I109" i="15"/>
  <c r="K109" i="15" s="1"/>
  <c r="I110" i="15"/>
  <c r="K110" i="15" s="1"/>
  <c r="I111" i="15"/>
  <c r="K111" i="15" s="1"/>
  <c r="I112" i="15"/>
  <c r="K112" i="15" s="1"/>
  <c r="I113" i="15"/>
  <c r="K113" i="15" s="1"/>
  <c r="I114" i="15"/>
  <c r="K114" i="15" s="1"/>
  <c r="D8" i="15"/>
  <c r="D9" i="15"/>
  <c r="F9" i="15" s="1"/>
  <c r="D10" i="15"/>
  <c r="F10" i="15" s="1"/>
  <c r="D11" i="15"/>
  <c r="F11" i="15" s="1"/>
  <c r="D12" i="15"/>
  <c r="F12" i="15" s="1"/>
  <c r="D13" i="15"/>
  <c r="F13" i="15" s="1"/>
  <c r="D14" i="15"/>
  <c r="F14" i="15" s="1"/>
  <c r="D15" i="15"/>
  <c r="F15" i="15" s="1"/>
  <c r="D16" i="15"/>
  <c r="F16" i="15" s="1"/>
  <c r="D17" i="15"/>
  <c r="F17" i="15" s="1"/>
  <c r="D18" i="15"/>
  <c r="F18" i="15" s="1"/>
  <c r="D19" i="15"/>
  <c r="F19" i="15" s="1"/>
  <c r="D20" i="15"/>
  <c r="F20" i="15" s="1"/>
  <c r="D21" i="15"/>
  <c r="F21" i="15" s="1"/>
  <c r="D22" i="15"/>
  <c r="F22" i="15" s="1"/>
  <c r="D23" i="15"/>
  <c r="F23" i="15" s="1"/>
  <c r="D24" i="15"/>
  <c r="F24" i="15" s="1"/>
  <c r="D25" i="15"/>
  <c r="F25" i="15" s="1"/>
  <c r="D26" i="15"/>
  <c r="F26" i="15" s="1"/>
  <c r="D27" i="15"/>
  <c r="F27" i="15" s="1"/>
  <c r="D28" i="15"/>
  <c r="F28" i="15" s="1"/>
  <c r="D29" i="15"/>
  <c r="F29" i="15" s="1"/>
  <c r="D30" i="15"/>
  <c r="F30" i="15" s="1"/>
  <c r="D31" i="15"/>
  <c r="F31" i="15" s="1"/>
  <c r="D32" i="15"/>
  <c r="F32" i="15" s="1"/>
  <c r="D33" i="15"/>
  <c r="F33" i="15" s="1"/>
  <c r="D34" i="15"/>
  <c r="F34" i="15" s="1"/>
  <c r="D35" i="15"/>
  <c r="F35" i="15" s="1"/>
  <c r="D36" i="15"/>
  <c r="F36" i="15" s="1"/>
  <c r="D37" i="15"/>
  <c r="F37" i="15" s="1"/>
  <c r="D38" i="15"/>
  <c r="F38" i="15" s="1"/>
  <c r="D39" i="15"/>
  <c r="F39" i="15" s="1"/>
  <c r="D40" i="15"/>
  <c r="F40" i="15" s="1"/>
  <c r="D41" i="15"/>
  <c r="F41" i="15" s="1"/>
  <c r="D42" i="15"/>
  <c r="F42" i="15" s="1"/>
  <c r="D43" i="15"/>
  <c r="F43" i="15" s="1"/>
  <c r="D44" i="15"/>
  <c r="F44" i="15" s="1"/>
  <c r="D45" i="15"/>
  <c r="F45" i="15" s="1"/>
  <c r="D46" i="15"/>
  <c r="F46" i="15" s="1"/>
  <c r="D47" i="15"/>
  <c r="F47" i="15" s="1"/>
  <c r="D48" i="15"/>
  <c r="F48" i="15" s="1"/>
  <c r="D49" i="15"/>
  <c r="F49" i="15" s="1"/>
  <c r="D50" i="15"/>
  <c r="F50" i="15" s="1"/>
  <c r="D51" i="15"/>
  <c r="F51" i="15" s="1"/>
  <c r="D52" i="15"/>
  <c r="F52" i="15" s="1"/>
  <c r="D53" i="15"/>
  <c r="F53" i="15" s="1"/>
  <c r="D54" i="15"/>
  <c r="F54" i="15" s="1"/>
  <c r="D55" i="15"/>
  <c r="F55" i="15" s="1"/>
  <c r="D56" i="15"/>
  <c r="F56" i="15" s="1"/>
  <c r="D57" i="15"/>
  <c r="F57" i="15" s="1"/>
  <c r="D58" i="15"/>
  <c r="F58" i="15" s="1"/>
  <c r="D59" i="15"/>
  <c r="F59" i="15" s="1"/>
  <c r="D60" i="15"/>
  <c r="F60" i="15" s="1"/>
  <c r="D61" i="15"/>
  <c r="F61" i="15" s="1"/>
  <c r="D62" i="15"/>
  <c r="F62" i="15" s="1"/>
  <c r="D63" i="15"/>
  <c r="F63" i="15" s="1"/>
  <c r="D64" i="15"/>
  <c r="F64" i="15" s="1"/>
  <c r="D65" i="15"/>
  <c r="F65" i="15" s="1"/>
  <c r="D66" i="15"/>
  <c r="F66" i="15" s="1"/>
  <c r="D67" i="15"/>
  <c r="F67" i="15" s="1"/>
  <c r="D68" i="15"/>
  <c r="F68" i="15" s="1"/>
  <c r="D69" i="15"/>
  <c r="F69" i="15" s="1"/>
  <c r="D70" i="15"/>
  <c r="F70" i="15" s="1"/>
  <c r="D71" i="15"/>
  <c r="F71" i="15" s="1"/>
  <c r="D72" i="15"/>
  <c r="F72" i="15" s="1"/>
  <c r="D73" i="15"/>
  <c r="F73" i="15" s="1"/>
  <c r="D74" i="15"/>
  <c r="F74" i="15" s="1"/>
  <c r="D75" i="15"/>
  <c r="F75" i="15" s="1"/>
  <c r="D76" i="15"/>
  <c r="F76" i="15" s="1"/>
  <c r="D77" i="15"/>
  <c r="F77" i="15" s="1"/>
  <c r="D78" i="15"/>
  <c r="F78" i="15" s="1"/>
  <c r="D79" i="15"/>
  <c r="F79" i="15" s="1"/>
  <c r="D80" i="15"/>
  <c r="F80" i="15" s="1"/>
  <c r="D81" i="15"/>
  <c r="F81" i="15" s="1"/>
  <c r="D82" i="15"/>
  <c r="F82" i="15" s="1"/>
  <c r="D83" i="15"/>
  <c r="F83" i="15" s="1"/>
  <c r="D84" i="15"/>
  <c r="F84" i="15" s="1"/>
  <c r="D85" i="15"/>
  <c r="F85" i="15" s="1"/>
  <c r="D86" i="15"/>
  <c r="F86" i="15" s="1"/>
  <c r="D87" i="15"/>
  <c r="F87" i="15" s="1"/>
  <c r="D88" i="15"/>
  <c r="F88" i="15" s="1"/>
  <c r="D89" i="15"/>
  <c r="F89" i="15" s="1"/>
  <c r="D90" i="15"/>
  <c r="F90" i="15" s="1"/>
  <c r="D91" i="15"/>
  <c r="F91" i="15" s="1"/>
  <c r="D92" i="15"/>
  <c r="F92" i="15" s="1"/>
  <c r="D93" i="15"/>
  <c r="F93" i="15" s="1"/>
  <c r="D94" i="15"/>
  <c r="F94" i="15" s="1"/>
  <c r="D95" i="15"/>
  <c r="F95" i="15" s="1"/>
  <c r="D96" i="15"/>
  <c r="F96" i="15" s="1"/>
  <c r="D97" i="15"/>
  <c r="F97" i="15" s="1"/>
  <c r="D98" i="15"/>
  <c r="F98" i="15" s="1"/>
  <c r="D99" i="15"/>
  <c r="F99" i="15" s="1"/>
  <c r="D100" i="15"/>
  <c r="F100" i="15" s="1"/>
  <c r="D101" i="15"/>
  <c r="F101" i="15" s="1"/>
  <c r="D102" i="15"/>
  <c r="F102" i="15" s="1"/>
  <c r="D103" i="15"/>
  <c r="F103" i="15" s="1"/>
  <c r="D104" i="15"/>
  <c r="F104" i="15" s="1"/>
  <c r="D105" i="15"/>
  <c r="F105" i="15" s="1"/>
  <c r="D106" i="15"/>
  <c r="F106" i="15" s="1"/>
  <c r="D107" i="15"/>
  <c r="F107" i="15" s="1"/>
  <c r="D108" i="15"/>
  <c r="F108" i="15" s="1"/>
  <c r="D109" i="15"/>
  <c r="F109" i="15" s="1"/>
  <c r="D110" i="15"/>
  <c r="F110" i="15" s="1"/>
  <c r="D111" i="15"/>
  <c r="F111" i="15" s="1"/>
  <c r="D112" i="15"/>
  <c r="F112" i="15" s="1"/>
  <c r="D113" i="15"/>
  <c r="F113" i="15" s="1"/>
  <c r="D114" i="15"/>
  <c r="F114" i="15" s="1"/>
  <c r="F81" i="13"/>
  <c r="G81" i="13"/>
  <c r="H81" i="13"/>
  <c r="I81" i="13"/>
  <c r="J81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" i="13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I20" i="12"/>
  <c r="F20" i="12"/>
  <c r="G20" i="12"/>
  <c r="G9" i="12"/>
  <c r="G10" i="12"/>
  <c r="G11" i="12"/>
  <c r="G12" i="12"/>
  <c r="G13" i="12"/>
  <c r="G14" i="12"/>
  <c r="G15" i="12"/>
  <c r="G16" i="12"/>
  <c r="G17" i="12"/>
  <c r="G18" i="12"/>
  <c r="G19" i="12"/>
  <c r="G8" i="1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10" i="2"/>
  <c r="D84" i="2"/>
  <c r="E84" i="2"/>
  <c r="F84" i="2"/>
  <c r="H84" i="2"/>
  <c r="N19" i="3"/>
  <c r="K96" i="1"/>
  <c r="L96" i="1"/>
  <c r="F96" i="1"/>
  <c r="F87" i="1"/>
  <c r="E102" i="5" l="1"/>
  <c r="J102" i="5"/>
  <c r="K102" i="5" s="1"/>
  <c r="I115" i="15"/>
  <c r="D115" i="15"/>
  <c r="F8" i="15"/>
  <c r="F115" i="15" s="1"/>
  <c r="K8" i="15"/>
  <c r="K115" i="15" s="1"/>
  <c r="G84" i="2"/>
  <c r="E103" i="5" l="1"/>
  <c r="A21" i="11"/>
  <c r="C7" i="11"/>
  <c r="C10" i="11" s="1"/>
</calcChain>
</file>

<file path=xl/comments1.xml><?xml version="1.0" encoding="utf-8"?>
<comments xmlns="http://schemas.openxmlformats.org/spreadsheetml/2006/main">
  <authors>
    <author>Fanipoor</author>
  </authors>
  <commentList>
    <comment ref="F87" authorId="0" shapeId="0">
      <text>
        <r>
          <rPr>
            <b/>
            <sz val="9"/>
            <color indexed="81"/>
            <rFont val="Tahoma"/>
            <family val="2"/>
          </rPr>
          <t>Fanipoor:</t>
        </r>
        <r>
          <rPr>
            <sz val="9"/>
            <color indexed="81"/>
            <rFont val="Tahoma"/>
            <family val="2"/>
          </rPr>
          <t xml:space="preserve">
واریز مبلغ ارزش اسمی به مبلغ 4412144000 ریال</t>
        </r>
      </text>
    </comment>
  </commentList>
</comments>
</file>

<file path=xl/comments2.xml><?xml version="1.0" encoding="utf-8"?>
<comments xmlns="http://schemas.openxmlformats.org/spreadsheetml/2006/main">
  <authors>
    <author>Ali Akbar Iranshahi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<sst xmlns="http://schemas.openxmlformats.org/spreadsheetml/2006/main" count="1244" uniqueCount="421">
  <si>
    <t>صندوق سرمایه گذاری اختصاصی بازارگردانی صبا گستر نفت و گاز تامین</t>
  </si>
  <si>
    <t xml:space="preserve">صورت وضعیت پرتفوی </t>
  </si>
  <si>
    <t>برای ماه منتهی به 1399/11/30</t>
  </si>
  <si>
    <t>3-1- سرمایه‌گذاری در  سپرده‌ بانکی</t>
  </si>
  <si>
    <t>مشخصات حساب بانکی</t>
  </si>
  <si>
    <t>1399/11/01</t>
  </si>
  <si>
    <t>تغییرات طی دوره</t>
  </si>
  <si>
    <t>1399/11/30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</si>
  <si>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</si>
  <si>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</si>
  <si>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</si>
  <si>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</si>
  <si>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</si>
  <si>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</si>
  <si>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</si>
  <si>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</si>
  <si>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BankName</t>
  </si>
  <si>
    <t>Number</t>
  </si>
  <si>
    <t>Type</t>
  </si>
  <si>
    <t>Date</t>
  </si>
  <si>
    <t>StartBalance</t>
  </si>
  <si>
    <t>periodBalanceDebit</t>
  </si>
  <si>
    <t>periodBalanceCredit</t>
  </si>
  <si>
    <t>EndBalance</t>
  </si>
  <si>
    <t>BankValuePercent</t>
  </si>
  <si>
    <t>رفاه-شفارا</t>
  </si>
  <si>
    <t>سپرده سرمایه‌گذاری</t>
  </si>
  <si>
    <t>-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</si>
  <si>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</si>
  <si>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</si>
  <si>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</si>
  <si>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</si>
  <si>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</si>
  <si>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</si>
  <si>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</si>
  <si>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</si>
  <si>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</si>
  <si>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</si>
  <si>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</si>
  <si>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</si>
  <si>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</si>
  <si>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</si>
  <si>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</si>
  <si>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</si>
  <si>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</si>
  <si>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رفاه-شپاس</t>
  </si>
  <si>
    <t>رفاه-شغدیر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</si>
  <si>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</si>
  <si>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</si>
  <si>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</si>
  <si>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</si>
  <si>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</si>
  <si>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</si>
  <si>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</si>
  <si>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</si>
  <si>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</si>
  <si>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</si>
  <si>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</si>
  <si>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</si>
  <si>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</si>
  <si>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</si>
  <si>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</si>
  <si>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</si>
  <si>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</si>
  <si>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</si>
  <si>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</si>
  <si>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</si>
  <si>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</si>
  <si>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</si>
  <si>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</si>
  <si>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</si>
  <si>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</si>
  <si>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</si>
  <si>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</si>
  <si>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</si>
  <si>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</si>
  <si>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</si>
  <si>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</si>
  <si>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</si>
  <si>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</si>
  <si>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</si>
  <si>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</si>
  <si>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</si>
  <si>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</si>
  <si>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چکارن</t>
  </si>
  <si>
    <t>رفاه-شکلر</t>
  </si>
  <si>
    <t>رفاه-شستا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</si>
  <si>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</si>
  <si>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</si>
  <si>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</si>
  <si>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</si>
  <si>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</si>
  <si>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</si>
  <si>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</si>
  <si>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رفاه-سفانو</t>
  </si>
  <si>
    <t>رفاه - فباهنر</t>
  </si>
  <si>
    <t>رفاه - دابور</t>
  </si>
  <si>
    <t>رفاه - زملارد</t>
  </si>
  <si>
    <t>رفاه-وپترو</t>
  </si>
  <si>
    <t>رفاه-شدوص</t>
  </si>
  <si>
    <t>رفاه-تیپیکو</t>
  </si>
  <si>
    <t>جمع</t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</si>
  <si>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</si>
  <si>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</si>
  <si>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</si>
  <si>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</si>
  <si>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</si>
  <si>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</si>
  <si>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</si>
  <si>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</si>
  <si>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</si>
  <si>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</si>
  <si>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</si>
  <si>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</si>
  <si>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</si>
  <si>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</si>
  <si>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AssetName</t>
  </si>
  <si>
    <t>StartCount</t>
  </si>
  <si>
    <t>StartTotalCost</t>
  </si>
  <si>
    <t>StartTotalValue</t>
  </si>
  <si>
    <t>BuyCount</t>
  </si>
  <si>
    <t>BuyTotalCost</t>
  </si>
  <si>
    <t>SellCount</t>
  </si>
  <si>
    <t>SellTotalCost</t>
  </si>
  <si>
    <t>CurrentCount</t>
  </si>
  <si>
    <t>CurrentPrice</t>
  </si>
  <si>
    <t>CurrentTotalCost</t>
  </si>
  <si>
    <t>CurrentTotalValue</t>
  </si>
  <si>
    <t>AssetValuePercent</t>
  </si>
  <si>
    <t>کشت و دامداری فکا (زفکا)</t>
  </si>
  <si>
    <t>کربن ایران (شکربن)</t>
  </si>
  <si>
    <t>معدنی املاح ایران (شاملا)</t>
  </si>
  <si>
    <t>دارو رازک (درازک)</t>
  </si>
  <si>
    <t>فرآورده های نسوز ایران (کفرا)</t>
  </si>
  <si>
    <t>پارس الکتریک (لپارس)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</si>
  <si>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</si>
  <si>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</si>
  <si>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</si>
  <si>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</si>
  <si>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</si>
  <si>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</si>
  <si>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</si>
  <si>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</si>
  <si>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</si>
  <si>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</si>
  <si>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</si>
  <si>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</si>
  <si>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</si>
  <si>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</si>
  <si>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</si>
  <si>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</si>
  <si>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</si>
  <si>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</si>
  <si>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</si>
  <si>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</si>
  <si>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</si>
  <si>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</si>
  <si>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خاک چینی ایران (کخاک)</t>
  </si>
  <si>
    <t>داده پردازی ایران (مداران)</t>
  </si>
  <si>
    <t>زغال سنگ پروده طبس (کزغال)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</si>
  <si>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</si>
  <si>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</si>
  <si>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</si>
  <si>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</si>
  <si>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</si>
  <si>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</si>
  <si>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</si>
  <si>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</si>
  <si>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</si>
  <si>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</si>
  <si>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</si>
  <si>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</si>
  <si>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</si>
  <si>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</si>
  <si>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</si>
  <si>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</si>
  <si>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</si>
  <si>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</si>
  <si>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سر. سیمان تامین (سیتا)</t>
  </si>
  <si>
    <t>سیمان فارس (سفار)</t>
  </si>
  <si>
    <t>سیمان فارس نو (سفانو)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</si>
  <si>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</si>
  <si>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</si>
  <si>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</si>
  <si>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</si>
  <si>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</si>
  <si>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</si>
  <si>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</si>
  <si>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</si>
  <si>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</si>
  <si>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</si>
  <si>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</si>
  <si>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</si>
  <si>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</si>
  <si>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</si>
  <si>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</si>
  <si>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</si>
  <si>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</si>
  <si>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</si>
  <si>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</si>
  <si>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پخش هجرت (هجرت)</t>
  </si>
  <si>
    <t>پتروشیمی غدیر (شغدیر)</t>
  </si>
  <si>
    <t>سیمان خوزستان (سخوز)</t>
  </si>
  <si>
    <t>کاشی سعدی (کسعدی)</t>
  </si>
  <si>
    <t>پتروشیمی فارابی (شفارا)</t>
  </si>
  <si>
    <t>کارخانجات داروپخش (حق تقدم) (داروح)</t>
  </si>
  <si>
    <t>کشت و دامداری فکا (حق تقدم) (زفکاح)</t>
  </si>
  <si>
    <t>لوازم خانگی پارس (حق تقدم) (لخانهح)</t>
  </si>
  <si>
    <t>دارو اکسیر (حق تقدم) (دلرح)</t>
  </si>
  <si>
    <t>کاشی سعدی (حق تقدم) (کسعدیح)</t>
  </si>
  <si>
    <t>دارو زهراوی (حق تقدم) (دزهراویح)</t>
  </si>
  <si>
    <t>شیمی داروپخش (حق تقدم) (دشیمیح)</t>
  </si>
  <si>
    <t>تولید ژلاتین کپسول ایران (حق تقدم) (دکپسولح)</t>
  </si>
  <si>
    <t>داروسازی قاضی (حق تقدم) (دقاضیح)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</si>
  <si>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</si>
  <si>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</si>
  <si>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</si>
  <si>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</si>
  <si>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</si>
  <si>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</si>
  <si>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</si>
  <si>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</si>
  <si>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</si>
  <si>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</si>
  <si>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CertificateType</t>
  </si>
  <si>
    <t>Exchange</t>
  </si>
  <si>
    <t>IssueDate</t>
  </si>
  <si>
    <t>MatureDate</t>
  </si>
  <si>
    <t>NominalPrice</t>
  </si>
  <si>
    <t>InterestRate</t>
  </si>
  <si>
    <t>اجاره تامین اجتماعی-سپهر991226 (شستا992)</t>
  </si>
  <si>
    <t>بلی</t>
  </si>
  <si>
    <t>1396/12/26</t>
  </si>
  <si>
    <t>1399/12/26</t>
  </si>
  <si>
    <t>اسناد خزانه-م13بودجه98-010219 (اخزا813)</t>
  </si>
  <si>
    <t>1398/03/18</t>
  </si>
  <si>
    <t>1401/02/19</t>
  </si>
  <si>
    <t>اسنادخزانه-م15بودجه98-010406 (اخزا815)</t>
  </si>
  <si>
    <t>1398/04/06</t>
  </si>
  <si>
    <t>1401/04/06</t>
  </si>
  <si>
    <t>اسناد خزانه-م6بودجه98-000519 (اخزا806)</t>
  </si>
  <si>
    <t>1400/05/19</t>
  </si>
  <si>
    <t>منفعت دولت7-ش.خاص سایر0204 (افاد74)</t>
  </si>
  <si>
    <t>1398/10/11</t>
  </si>
  <si>
    <t>1402/04/11</t>
  </si>
  <si>
    <t>اسناد خزانه-م17بودجه98-010512 (اخزا817)</t>
  </si>
  <si>
    <t>1398/08/12</t>
  </si>
  <si>
    <t>1401/05/12</t>
  </si>
  <si>
    <t>اسناد خزانه-م18بودجه98-010614 (اخزا818)</t>
  </si>
  <si>
    <t>1398/08/14</t>
  </si>
  <si>
    <t>1401/06/14</t>
  </si>
  <si>
    <t>مرابحه عام دولت4-ش.خ 0206 (اراد49)</t>
  </si>
  <si>
    <t>1399/06/12</t>
  </si>
  <si>
    <t>1402/06/12</t>
  </si>
  <si>
    <t>مرابحه عام دولت5-ش.خ 0010 (اراد51)</t>
  </si>
  <si>
    <t>1399/06/25</t>
  </si>
  <si>
    <t>1400/10/25</t>
  </si>
  <si>
    <t>به ‌نام خدا</t>
  </si>
  <si>
    <t xml:space="preserve">صورت وضعیت پرتفوی
</t>
  </si>
  <si>
    <t xml:space="preserve">برای ماه منتهی به 1399/11/30
</t>
  </si>
  <si>
    <t xml:space="preserve">صورت وضعیت درآمدها </t>
  </si>
  <si>
    <t>برای ماه منتهی به  1399/11/30</t>
  </si>
  <si>
    <t>2-2-درآمد حاصل از سرمایه­گذاری در اوراق بهادار با درآمد ثابت:</t>
  </si>
  <si>
    <t>از ابتدای سال مالی تا 1399/11/30</t>
  </si>
  <si>
    <t>درآمد سود اوراق</t>
  </si>
  <si>
    <t>درآمد تغییر ارزش</t>
  </si>
  <si>
    <t>درآمد فروش</t>
  </si>
  <si>
    <t>PeriodPureInterestPayment</t>
  </si>
  <si>
    <t>PeriodChange</t>
  </si>
  <si>
    <t>PeriodTotalCostProfitLoss</t>
  </si>
  <si>
    <t>PeriodAmountSum</t>
  </si>
  <si>
    <t>CurrentPureInterestPayment</t>
  </si>
  <si>
    <t>CurrentChange</t>
  </si>
  <si>
    <t>CurrentTotalCostProfitLoss</t>
  </si>
  <si>
    <t>CurrentAmountSum</t>
  </si>
  <si>
    <t>اسناد خزانه-م14بودجه98-010318 (اخزا814)</t>
  </si>
  <si>
    <t>اسناد خزانه-م5بودجه98-000422 (اخزا805)</t>
  </si>
  <si>
    <t>منفعت دولت7-ش.خاص نوین0204 (افاد73)</t>
  </si>
  <si>
    <t>اسناد خزانه-م12بودجه98-001111 (اخزا812)</t>
  </si>
  <si>
    <t>اسناد خزانه-م8بودجه98-000817 (اخزا808)</t>
  </si>
  <si>
    <t>اسناد خزانه-م6بودجه97-990423 (اخزا706)</t>
  </si>
  <si>
    <t>منفعت صبا اروند ملت14001110 (اروند06)</t>
  </si>
  <si>
    <t>دولت - با شرایط خاص 140010 (اشاد1)</t>
  </si>
  <si>
    <t>اسناد خزانه-م16بودجه97-000407 (اخزا716)</t>
  </si>
  <si>
    <t>اسناد خزانه-م16بودجه98-010503 (اخزا816)</t>
  </si>
  <si>
    <t>اسناد خزانه-م3بودجه98-990521 (اخزا803)</t>
  </si>
  <si>
    <t>اسناد خزانه-م24بودجه96-990625 (اخزا624)</t>
  </si>
  <si>
    <t>اسناد خزانه-م11بودجه98-001013 (اخزا811)</t>
  </si>
  <si>
    <t>مشارکت دولتی10-شرایط خاص001226 (اشاد10)</t>
  </si>
  <si>
    <t>اسناد خزانه-م13بودجه97-000518 (اخزا713)</t>
  </si>
  <si>
    <t>اسناد خزانه-م7بودجه98-000719 (اخزا807)</t>
  </si>
  <si>
    <t>اسناد خزانه-م3بودجه97-990721 (اخزا703)</t>
  </si>
  <si>
    <t>اسناد خزانه-م18بودجه97-000525 (اخزا718)</t>
  </si>
  <si>
    <t>اسناد خزانه-م20بودجه98-020806 (اخزا820)</t>
  </si>
  <si>
    <t>اسناد خزانه-م9بودجه98-000923 (اخزا809)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</si>
  <si>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</si>
  <si>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</si>
  <si>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</si>
  <si>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</si>
  <si>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</si>
  <si>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BankAccount</t>
  </si>
  <si>
    <t>PeriodInterestAmount</t>
  </si>
  <si>
    <t>PeriodInterestPercent</t>
  </si>
  <si>
    <t>CurrentPureInterest</t>
  </si>
  <si>
    <t>CurrentInterestPercent</t>
  </si>
  <si>
    <t>Amount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</si>
  <si>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</si>
  <si>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</si>
  <si>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</si>
  <si>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</si>
  <si>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PeriodPureDividendPayment</t>
  </si>
  <si>
    <t>CurrentPureDividendPayment</t>
  </si>
  <si>
    <t>CurrentPercent</t>
  </si>
  <si>
    <t>سر. صبا تامین (حق تقدم) (صباح)</t>
  </si>
  <si>
    <t>سر. صدر تامین (حق تقدم) (تاصیکوح)</t>
  </si>
  <si>
    <t>پخش هجرت (حق تقدم) (هجرتح)</t>
  </si>
  <si>
    <t>کاغذ سازی کاوه (حق تقدم) (چکاوهح)</t>
  </si>
  <si>
    <t>لعابیران (حق تقدم) (شلعابح)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</si>
  <si>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</si>
  <si>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</si>
  <si>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</si>
  <si>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</si>
  <si>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</si>
  <si>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PeriodCount</t>
  </si>
  <si>
    <t>PeriodTotalAmount</t>
  </si>
  <si>
    <t>PeriodTotalCost</t>
  </si>
  <si>
    <t>AllCount</t>
  </si>
  <si>
    <t>AllTotalAmount</t>
  </si>
  <si>
    <t>AllTotalCost</t>
  </si>
  <si>
    <t>AllTotalCostProfitLoss</t>
  </si>
  <si>
    <t>2- درآمد حاصل از سرمایه گذاری ها</t>
  </si>
  <si>
    <t>یادداشت</t>
  </si>
  <si>
    <t>درصد از کل درآمدها</t>
  </si>
  <si>
    <t>درصد از کل دارایی ها</t>
  </si>
  <si>
    <t>Description</t>
  </si>
  <si>
    <t>Memo</t>
  </si>
  <si>
    <t>PercentOfRevenues</t>
  </si>
  <si>
    <t>PercentOfAssets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</si>
  <si>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</si>
  <si>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</si>
  <si>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</si>
  <si>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</si>
  <si>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</si>
  <si>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</si>
  <si>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</si>
  <si>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</si>
  <si>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</si>
  <si>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</si>
  <si>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</si>
  <si>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</si>
  <si>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</si>
  <si>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</si>
  <si>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</si>
  <si>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Company</t>
  </si>
  <si>
    <t>Dps</t>
  </si>
  <si>
    <t>periodDividendPaymentSum</t>
  </si>
  <si>
    <t>periodDividendPaymentDiscount</t>
  </si>
  <si>
    <t>purePeriodDividendPayment</t>
  </si>
  <si>
    <t>currentDividend</t>
  </si>
  <si>
    <t>dividendPaymentDiscount</t>
  </si>
  <si>
    <t>pureDividendPayment</t>
  </si>
  <si>
    <t>1399/02/20</t>
  </si>
  <si>
    <t>1399/02/30</t>
  </si>
  <si>
    <t>1399/02/31</t>
  </si>
  <si>
    <t>1399/03/13</t>
  </si>
  <si>
    <t>1399/03/19</t>
  </si>
  <si>
    <t>1399/03/24</t>
  </si>
  <si>
    <t>1399/04/04</t>
  </si>
  <si>
    <t>1399/04/15</t>
  </si>
  <si>
    <t>1399/05/11</t>
  </si>
  <si>
    <t>1399/05/15</t>
  </si>
  <si>
    <t>1399/05/25</t>
  </si>
  <si>
    <t>1399/06/05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</si>
  <si>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</si>
  <si>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</si>
  <si>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</si>
  <si>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</si>
  <si>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PaymentDay</t>
  </si>
  <si>
    <t>DateTime</t>
  </si>
  <si>
    <t>RegularRate</t>
  </si>
  <si>
    <t>PeriodInterestDiscount</t>
  </si>
  <si>
    <t>PeriodPureInterest</t>
  </si>
  <si>
    <t>CurrentInterest</t>
  </si>
  <si>
    <t>CurrentInterestDiscount</t>
  </si>
  <si>
    <t>1399/12/25</t>
  </si>
  <si>
    <t>1399/11/13</t>
  </si>
  <si>
    <t>1400/11/13</t>
  </si>
  <si>
    <t>1400/04/11</t>
  </si>
  <si>
    <t>1399/12/12</t>
  </si>
  <si>
    <t>1400/04/26</t>
  </si>
  <si>
    <t>1400/10/26</t>
  </si>
  <si>
    <t>1399/06/26</t>
  </si>
  <si>
    <t>1400/12/26</t>
  </si>
  <si>
    <t>درآمد ناشی از تغییر قیمت اوراق بهادار</t>
  </si>
  <si>
    <t>سود و زیان ناشی از تغییر قیمت</t>
  </si>
  <si>
    <t>PeriodTotalValue</t>
  </si>
  <si>
    <t>PeriodBookValue</t>
  </si>
  <si>
    <t>CurrentBookValue</t>
  </si>
  <si>
    <t>1399/11/25</t>
  </si>
  <si>
    <t>1399/11/07</t>
  </si>
  <si>
    <t>1399/11/20</t>
  </si>
  <si>
    <t>1399/11/03</t>
  </si>
  <si>
    <t>_</t>
  </si>
  <si>
    <t>1399/11/074</t>
  </si>
  <si>
    <t>Column1</t>
  </si>
  <si>
    <t>Column2</t>
  </si>
  <si>
    <t>طی بهمن ماه</t>
  </si>
  <si>
    <t>Column3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</si>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</sst>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0_);[Red]\(#,##0.0000\)"/>
  </numFmts>
  <fonts count="25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8"/>
      <color theme="1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8"/>
      <color rgb="FF000000"/>
      <name val="B Titr"/>
      <charset val="178"/>
    </font>
    <font>
      <sz val="10"/>
      <color rgb="FF000000"/>
      <name val="B Titr"/>
      <charset val="178"/>
    </font>
    <font>
      <sz val="8"/>
      <name val="B Titr"/>
      <charset val="178"/>
    </font>
    <font>
      <sz val="11"/>
      <color theme="1"/>
      <name val="Calibri"/>
      <family val="2"/>
      <scheme val="minor"/>
    </font>
    <font>
      <sz val="11"/>
      <color theme="1"/>
      <name val="B Titr"/>
    </font>
    <font>
      <sz val="8"/>
      <color theme="1"/>
      <name val="B Titr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11"/>
      <name val="B Titr"/>
      <charset val="178"/>
    </font>
    <font>
      <sz val="11"/>
      <color theme="0"/>
      <name val="B Titr"/>
      <charset val="178"/>
    </font>
    <font>
      <sz val="11"/>
      <name val="Calibri"/>
      <family val="2"/>
      <scheme val="minor"/>
    </font>
    <font>
      <b/>
      <sz val="16"/>
      <color theme="1"/>
      <name val="B Zar"/>
      <charset val="178"/>
    </font>
    <font>
      <sz val="11"/>
      <color rgb="FFFF000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41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 wrapText="1"/>
    </xf>
    <xf numFmtId="0" fontId="9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/>
    <xf numFmtId="3" fontId="7" fillId="2" borderId="0" xfId="0" applyNumberFormat="1" applyFont="1" applyFill="1" applyBorder="1" applyAlignment="1">
      <alignment horizontal="center" vertical="center" readingOrder="2"/>
    </xf>
    <xf numFmtId="3" fontId="7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3" fontId="9" fillId="2" borderId="5" xfId="0" applyNumberFormat="1" applyFont="1" applyFill="1" applyBorder="1" applyAlignment="1">
      <alignment horizontal="center" vertical="center" readingOrder="2"/>
    </xf>
    <xf numFmtId="4" fontId="9" fillId="2" borderId="5" xfId="0" applyNumberFormat="1" applyFont="1" applyFill="1" applyBorder="1" applyAlignment="1">
      <alignment horizontal="center" vertical="center" readingOrder="2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>
      <alignment horizontal="center" readingOrder="2"/>
    </xf>
    <xf numFmtId="3" fontId="9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readingOrder="2"/>
    </xf>
    <xf numFmtId="3" fontId="9" fillId="2" borderId="5" xfId="0" applyNumberFormat="1" applyFont="1" applyFill="1" applyBorder="1" applyAlignment="1">
      <alignment horizontal="center" readingOrder="2"/>
    </xf>
    <xf numFmtId="4" fontId="9" fillId="2" borderId="5" xfId="0" applyNumberFormat="1" applyFont="1" applyFill="1" applyBorder="1" applyAlignment="1">
      <alignment horizontal="center" readingOrder="2"/>
    </xf>
    <xf numFmtId="0" fontId="9" fillId="2" borderId="0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center" vertical="center" readingOrder="2"/>
    </xf>
    <xf numFmtId="38" fontId="12" fillId="2" borderId="5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 vertical="center"/>
    </xf>
    <xf numFmtId="38" fontId="9" fillId="2" borderId="5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/>
    </xf>
    <xf numFmtId="38" fontId="7" fillId="2" borderId="0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6" fillId="2" borderId="0" xfId="0" applyNumberFormat="1" applyFont="1" applyFill="1" applyBorder="1" applyAlignment="1">
      <alignment horizontal="center" vertical="center"/>
    </xf>
    <xf numFmtId="38" fontId="17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/>
    <xf numFmtId="38" fontId="3" fillId="2" borderId="0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3" fontId="19" fillId="2" borderId="3" xfId="0" applyNumberFormat="1" applyFont="1" applyFill="1" applyBorder="1" applyAlignment="1">
      <alignment horizontal="center" vertical="center" readingOrder="2"/>
    </xf>
    <xf numFmtId="3" fontId="12" fillId="2" borderId="5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vertical="center"/>
    </xf>
    <xf numFmtId="38" fontId="19" fillId="2" borderId="1" xfId="0" applyNumberFormat="1" applyFont="1" applyFill="1" applyBorder="1" applyAlignment="1">
      <alignment vertical="center" readingOrder="2"/>
    </xf>
    <xf numFmtId="38" fontId="19" fillId="2" borderId="3" xfId="0" applyNumberFormat="1" applyFont="1" applyFill="1" applyBorder="1" applyAlignment="1">
      <alignment horizontal="center" vertical="center" readingOrder="2"/>
    </xf>
    <xf numFmtId="0" fontId="3" fillId="2" borderId="0" xfId="0" applyNumberFormat="1" applyFont="1" applyFill="1" applyBorder="1" applyAlignment="1">
      <alignment vertical="center"/>
    </xf>
    <xf numFmtId="38" fontId="19" fillId="2" borderId="1" xfId="0" applyNumberFormat="1" applyFont="1" applyFill="1" applyBorder="1" applyAlignment="1">
      <alignment horizontal="right" vertical="center" readingOrder="2"/>
    </xf>
    <xf numFmtId="38" fontId="12" fillId="2" borderId="0" xfId="0" applyNumberFormat="1" applyFont="1" applyFill="1" applyBorder="1" applyAlignment="1">
      <alignment horizontal="right" vertical="center" readingOrder="1"/>
    </xf>
    <xf numFmtId="3" fontId="19" fillId="2" borderId="0" xfId="0" applyNumberFormat="1" applyFont="1" applyFill="1" applyBorder="1" applyAlignment="1">
      <alignment vertical="center" readingOrder="2"/>
    </xf>
    <xf numFmtId="3" fontId="12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5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21" fillId="2" borderId="0" xfId="0" applyNumberFormat="1" applyFont="1" applyFill="1" applyBorder="1" applyAlignment="1">
      <alignment vertical="center"/>
    </xf>
    <xf numFmtId="38" fontId="20" fillId="2" borderId="0" xfId="0" applyNumberFormat="1" applyFont="1" applyFill="1" applyBorder="1" applyAlignment="1">
      <alignment horizontal="right" vertical="center"/>
    </xf>
    <xf numFmtId="40" fontId="21" fillId="2" borderId="0" xfId="0" applyNumberFormat="1" applyFont="1" applyFill="1" applyBorder="1" applyAlignment="1">
      <alignment horizontal="right" vertical="center"/>
    </xf>
    <xf numFmtId="40" fontId="20" fillId="2" borderId="0" xfId="0" applyNumberFormat="1" applyFont="1" applyFill="1" applyBorder="1" applyAlignment="1">
      <alignment horizontal="right" vertical="center"/>
    </xf>
    <xf numFmtId="38" fontId="20" fillId="2" borderId="0" xfId="0" applyNumberFormat="1" applyFont="1" applyFill="1" applyBorder="1" applyAlignment="1">
      <alignment vertical="center"/>
    </xf>
    <xf numFmtId="40" fontId="3" fillId="2" borderId="0" xfId="0" applyNumberFormat="1" applyFont="1" applyFill="1" applyBorder="1" applyAlignment="1">
      <alignment horizontal="right" vertical="center"/>
    </xf>
    <xf numFmtId="164" fontId="21" fillId="2" borderId="0" xfId="0" applyNumberFormat="1" applyFont="1" applyFill="1" applyBorder="1" applyAlignment="1">
      <alignment horizontal="right" vertical="center"/>
    </xf>
    <xf numFmtId="40" fontId="19" fillId="2" borderId="3" xfId="0" applyNumberFormat="1" applyFont="1" applyFill="1" applyBorder="1" applyAlignment="1">
      <alignment horizontal="center" vertical="center" readingOrder="2"/>
    </xf>
    <xf numFmtId="40" fontId="9" fillId="2" borderId="0" xfId="0" applyNumberFormat="1" applyFont="1" applyFill="1" applyBorder="1" applyAlignment="1">
      <alignment horizontal="center" vertical="center"/>
    </xf>
    <xf numFmtId="40" fontId="3" fillId="2" borderId="0" xfId="0" applyNumberFormat="1" applyFont="1" applyFill="1" applyBorder="1" applyAlignment="1">
      <alignment vertical="center"/>
    </xf>
    <xf numFmtId="2" fontId="19" fillId="2" borderId="3" xfId="0" applyNumberFormat="1" applyFont="1" applyFill="1" applyBorder="1" applyAlignment="1">
      <alignment horizontal="center" vertical="center" readingOrder="2"/>
    </xf>
    <xf numFmtId="2" fontId="9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vertical="center"/>
    </xf>
    <xf numFmtId="2" fontId="12" fillId="2" borderId="5" xfId="0" applyNumberFormat="1" applyFont="1" applyFill="1" applyBorder="1" applyAlignment="1">
      <alignment horizontal="center" vertical="center" readingOrder="2"/>
    </xf>
    <xf numFmtId="40" fontId="12" fillId="2" borderId="5" xfId="0" applyNumberFormat="1" applyFont="1" applyFill="1" applyBorder="1" applyAlignment="1">
      <alignment horizontal="center" vertical="center" readingOrder="2"/>
    </xf>
    <xf numFmtId="0" fontId="22" fillId="2" borderId="0" xfId="0" applyNumberFormat="1" applyFont="1" applyFill="1" applyBorder="1"/>
    <xf numFmtId="2" fontId="20" fillId="2" borderId="4" xfId="0" applyNumberFormat="1" applyFont="1" applyFill="1" applyBorder="1" applyAlignment="1">
      <alignment horizontal="center"/>
    </xf>
    <xf numFmtId="2" fontId="20" fillId="2" borderId="4" xfId="2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/>
    </xf>
    <xf numFmtId="2" fontId="20" fillId="3" borderId="4" xfId="2" applyNumberFormat="1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readingOrder="2"/>
    </xf>
    <xf numFmtId="3" fontId="7" fillId="2" borderId="2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readingOrder="2"/>
    </xf>
    <xf numFmtId="3" fontId="7" fillId="2" borderId="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 readingOrder="2"/>
    </xf>
    <xf numFmtId="3" fontId="7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right" vertical="center" readingOrder="2"/>
    </xf>
    <xf numFmtId="3" fontId="7" fillId="2" borderId="0" xfId="0" applyNumberFormat="1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>
      <alignment horizontal="center" readingOrder="2"/>
    </xf>
    <xf numFmtId="3" fontId="7" fillId="2" borderId="2" xfId="0" applyNumberFormat="1" applyFont="1" applyFill="1" applyBorder="1" applyAlignment="1">
      <alignment horizontal="center" readingOrder="2"/>
    </xf>
    <xf numFmtId="3" fontId="7" fillId="2" borderId="2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readingOrder="2"/>
    </xf>
    <xf numFmtId="38" fontId="11" fillId="2" borderId="0" xfId="0" applyNumberFormat="1" applyFont="1" applyFill="1" applyBorder="1" applyAlignment="1">
      <alignment horizontal="right" vertical="center" readingOrder="2"/>
    </xf>
    <xf numFmtId="38" fontId="10" fillId="2" borderId="0" xfId="0" applyNumberFormat="1" applyFont="1" applyFill="1" applyBorder="1" applyAlignment="1">
      <alignment horizontal="center" vertical="center"/>
    </xf>
    <xf numFmtId="38" fontId="7" fillId="2" borderId="1" xfId="0" applyNumberFormat="1" applyFont="1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horizontal="center"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3" fontId="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19" fillId="2" borderId="2" xfId="0" applyNumberFormat="1" applyFont="1" applyFill="1" applyBorder="1" applyAlignment="1">
      <alignment horizontal="center" vertical="center" readingOrder="2"/>
    </xf>
    <xf numFmtId="38" fontId="19" fillId="2" borderId="0" xfId="0" applyNumberFormat="1" applyFont="1" applyFill="1" applyBorder="1" applyAlignment="1">
      <alignment horizontal="center" vertical="center" readingOrder="2"/>
    </xf>
    <xf numFmtId="38" fontId="19" fillId="2" borderId="1" xfId="0" applyNumberFormat="1" applyFont="1" applyFill="1" applyBorder="1" applyAlignment="1">
      <alignment horizontal="center" vertical="center" readingOrder="2"/>
    </xf>
    <xf numFmtId="38" fontId="18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right" vertical="center" readingOrder="2"/>
    </xf>
    <xf numFmtId="3" fontId="19" fillId="2" borderId="3" xfId="0" applyNumberFormat="1" applyFont="1" applyFill="1" applyBorder="1" applyAlignment="1">
      <alignment horizontal="center" vertical="center" readingOrder="2"/>
    </xf>
    <xf numFmtId="0" fontId="23" fillId="2" borderId="6" xfId="0" applyFont="1" applyFill="1" applyBorder="1" applyAlignment="1" applyProtection="1">
      <alignment horizontal="center" wrapText="1"/>
      <protection locked="0"/>
    </xf>
    <xf numFmtId="0" fontId="23" fillId="2" borderId="7" xfId="0" applyFont="1" applyFill="1" applyBorder="1" applyAlignment="1" applyProtection="1">
      <alignment horizontal="center"/>
      <protection locked="0"/>
    </xf>
    <xf numFmtId="0" fontId="23" fillId="2" borderId="8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99"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99-11-30%20&#1705;&#1601;&#1575;&#1740;&#1578;%20&#1587;&#1585;&#1605;&#1575;&#1740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1399/11/30</v>
          </cell>
        </row>
        <row r="83">
          <cell r="E83">
            <v>47742474</v>
          </cell>
          <cell r="F83">
            <v>32998198.399999999</v>
          </cell>
          <cell r="G83">
            <v>43526563.399999999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2709652</v>
          </cell>
          <cell r="F182">
            <v>2266043.2000000002</v>
          </cell>
          <cell r="G182">
            <v>2044238.8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2038043</v>
          </cell>
          <cell r="F254">
            <v>1019021.5</v>
          </cell>
          <cell r="G254">
            <v>10190215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M96" headerRowDxfId="198" dataDxfId="197" totalsRowDxfId="196">
  <autoFilter ref="A10:M96"/>
  <tableColumns count="13">
    <tableColumn id="1" name="AssetName" dataDxfId="195"/>
    <tableColumn id="2" name="StartCount" dataDxfId="194"/>
    <tableColumn id="3" name="StartTotalCost" dataDxfId="193"/>
    <tableColumn id="4" name="StartTotalValue" dataDxfId="192"/>
    <tableColumn id="5" name="BuyCount" dataDxfId="191"/>
    <tableColumn id="6" name="BuyTotalCost" dataDxfId="190"/>
    <tableColumn id="7" name="SellCount" dataDxfId="189"/>
    <tableColumn id="8" name="SellTotalCost" dataDxfId="188"/>
    <tableColumn id="9" name="CurrentCount" dataDxfId="187"/>
    <tableColumn id="10" name="CurrentPrice" dataDxfId="186"/>
    <tableColumn id="11" name="CurrentTotalCost" dataDxfId="185"/>
    <tableColumn id="12" name="CurrentTotalValue" dataDxfId="184"/>
    <tableColumn id="13" name="AssetValuePercent" dataDxfId="18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8:E74" headerRowDxfId="7" dataDxfId="6" totalsRowDxfId="5">
  <autoFilter ref="A8:E74"/>
  <tableColumns count="5">
    <tableColumn id="1" name="BankAccount" dataDxfId="4"/>
    <tableColumn id="3" name="PeriodInterestAmount" dataDxfId="3"/>
    <tableColumn id="4" name="PeriodInterestPercent" dataDxfId="2"/>
    <tableColumn id="5" name="CurrentPureInterest" dataDxfId="1"/>
    <tableColumn id="6" name="CurrentInterestPercent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S20" totalsRowCount="1" headerRowDxfId="182" dataDxfId="181" totalsRowDxfId="180">
  <autoFilter ref="A9:S19"/>
  <tableColumns count="19">
    <tableColumn id="1" name="AssetName" dataDxfId="179" totalsRowDxfId="178"/>
    <tableColumn id="2" name="CertificateType" dataDxfId="177" totalsRowDxfId="176"/>
    <tableColumn id="3" name="Exchange" dataDxfId="175" totalsRowDxfId="174"/>
    <tableColumn id="4" name="IssueDate" dataDxfId="173" totalsRowDxfId="172"/>
    <tableColumn id="5" name="MatureDate" dataDxfId="171" totalsRowDxfId="170"/>
    <tableColumn id="6" name="NominalPrice" dataDxfId="169" totalsRowDxfId="168"/>
    <tableColumn id="7" name="InterestRate" dataDxfId="167" totalsRowDxfId="166"/>
    <tableColumn id="8" name="StartCount" dataDxfId="165" totalsRowDxfId="164"/>
    <tableColumn id="9" name="StartTotalCost" dataDxfId="163" totalsRowDxfId="162"/>
    <tableColumn id="10" name="StartTotalValue" dataDxfId="161" totalsRowDxfId="160"/>
    <tableColumn id="11" name="BuyCount" dataDxfId="159" totalsRowDxfId="158"/>
    <tableColumn id="12" name="BuyTotalCost" dataDxfId="157" totalsRowDxfId="156"/>
    <tableColumn id="13" name="SellCount" dataDxfId="155" totalsRowDxfId="154"/>
    <tableColumn id="14" name="SellTotalCost" dataDxfId="153" totalsRowDxfId="152"/>
    <tableColumn id="15" name="CurrentCount" dataDxfId="151" totalsRowDxfId="150"/>
    <tableColumn id="16" name="CurrentPrice" dataDxfId="149" totalsRowDxfId="148"/>
    <tableColumn id="17" name="CurrentTotalCost" dataDxfId="147" totalsRowDxfId="146"/>
    <tableColumn id="18" name="CurrentTotalValue" dataDxfId="145" totalsRowDxfId="144"/>
    <tableColumn id="19" name="AssetValuePercent" dataDxfId="143" totalsRowDxfId="14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A6:E10" headerRowDxfId="141" dataDxfId="140" totalsRowDxfId="139">
  <autoFilter ref="A6:E10"/>
  <tableColumns count="5">
    <tableColumn id="1" name="Description" dataDxfId="138"/>
    <tableColumn id="2" name="Memo" dataDxfId="137"/>
    <tableColumn id="3" name="Amount" dataDxfId="136"/>
    <tableColumn id="4" name="PercentOfRevenues" dataDxfId="135"/>
    <tableColumn id="5" name="PercentOfAssets" dataDxfId="13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7:J20" headerRowDxfId="133" dataDxfId="132" totalsRowDxfId="131">
  <autoFilter ref="A7:J20"/>
  <tableColumns count="10">
    <tableColumn id="1" name="Company" dataDxfId="130"/>
    <tableColumn id="2" name="Date" dataDxfId="129"/>
    <tableColumn id="3" name="StartCount" dataDxfId="128"/>
    <tableColumn id="4" name="Dps" dataDxfId="127"/>
    <tableColumn id="5" name="periodDividendPaymentSum" dataDxfId="126"/>
    <tableColumn id="6" name="periodDividendPaymentDiscount" dataDxfId="125"/>
    <tableColumn id="7" name="purePeriodDividendPayment" dataDxfId="124"/>
    <tableColumn id="8" name="currentDividend" dataDxfId="123"/>
    <tableColumn id="9" name="dividendPaymentDiscount" dataDxfId="122"/>
    <tableColumn id="10" name="pureDividendPayment" dataDxfId="121">
      <calculatedColumnFormula>Table4[[#This Row],[currentDividend]]-Table4[[#This Row],[dividendPaymentDiscount]]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:J81" headerRowDxfId="120" dataDxfId="119" totalsRowDxfId="118">
  <autoFilter ref="A7:J81"/>
  <tableColumns count="10">
    <tableColumn id="1" name="BankAccount" dataDxfId="117"/>
    <tableColumn id="2" name="PaymentDay" dataDxfId="116"/>
    <tableColumn id="3" name="DateTime" dataDxfId="115"/>
    <tableColumn id="4" name="RegularRate" dataDxfId="114"/>
    <tableColumn id="5" name="PeriodInterestAmount" dataDxfId="113"/>
    <tableColumn id="6" name="PeriodInterestDiscount" dataDxfId="112"/>
    <tableColumn id="7" name="PeriodPureInterest" dataDxfId="111"/>
    <tableColumn id="8" name="CurrentInterest" dataDxfId="110"/>
    <tableColumn id="9" name="CurrentInterestDiscount" dataDxfId="109"/>
    <tableColumn id="10" name="CurrentPureInterest" dataDxfId="10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7:K116" totalsRowCount="1" headerRowDxfId="107" dataDxfId="106" totalsRowDxfId="105">
  <autoFilter ref="A7:K115"/>
  <tableColumns count="11">
    <tableColumn id="1" name="AssetName" dataDxfId="104" totalsRowDxfId="103"/>
    <tableColumn id="2" name="PeriodCount" dataDxfId="102" totalsRowDxfId="101"/>
    <tableColumn id="3" name="PeriodTotalAmount" dataDxfId="100" totalsRowDxfId="99"/>
    <tableColumn id="10" name="Column1" dataDxfId="98" totalsRowDxfId="97">
      <calculatedColumnFormula>Table6[[#This Row],[PeriodTotalCost]]*(-1)</calculatedColumnFormula>
    </tableColumn>
    <tableColumn id="4" name="PeriodTotalCost" dataDxfId="96" totalsRowDxfId="95"/>
    <tableColumn id="5" name="PeriodTotalCostProfitLoss" dataDxfId="94" totalsRowDxfId="93"/>
    <tableColumn id="6" name="AllCount" dataDxfId="92" totalsRowDxfId="91"/>
    <tableColumn id="7" name="AllTotalAmount" dataDxfId="90" totalsRowDxfId="89"/>
    <tableColumn id="11" name="Column2" dataDxfId="88" totalsRowDxfId="87">
      <calculatedColumnFormula>Table6[[#This Row],[AllTotalCost]]*(-1)</calculatedColumnFormula>
    </tableColumn>
    <tableColumn id="8" name="AllTotalCost" dataDxfId="86" totalsRowDxfId="85"/>
    <tableColumn id="9" name="AllTotalCostProfitLoss" dataDxfId="84" totalsRowDxfId="8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7:K103" totalsRowCount="1" headerRowDxfId="82" dataDxfId="81" totalsRowDxfId="80">
  <autoFilter ref="A7:K102"/>
  <tableColumns count="11">
    <tableColumn id="1" name="AssetName" dataDxfId="79" totalsRowDxfId="78"/>
    <tableColumn id="2" name="PeriodCount" dataDxfId="77" totalsRowDxfId="76"/>
    <tableColumn id="3" name="PeriodTotalValue" dataDxfId="75" totalsRowDxfId="74"/>
    <tableColumn id="10" name="Column1" dataDxfId="73" totalsRowDxfId="72">
      <calculatedColumnFormula>Table7[[#This Row],[PeriodBookValue]]*(-1)</calculatedColumnFormula>
    </tableColumn>
    <tableColumn id="4" name="PeriodBookValue" dataDxfId="71" totalsRowDxfId="70"/>
    <tableColumn id="5" name="PeriodChange" totalsRowFunction="custom" dataDxfId="69" totalsRowDxfId="68">
      <calculatedColumnFormula>Table7[[#This Row],[PeriodTotalValue]]-Table7[[#This Row],[Column1]]</calculatedColumnFormula>
      <totalsRowFormula>C102+E102-F102</totalsRowFormula>
    </tableColumn>
    <tableColumn id="6" name="CurrentCount" dataDxfId="67" totalsRowDxfId="66"/>
    <tableColumn id="7" name="CurrentTotalValue" dataDxfId="65" totalsRowDxfId="64"/>
    <tableColumn id="11" name="Column2" dataDxfId="63" totalsRowDxfId="62">
      <calculatedColumnFormula>Table7[[#This Row],[CurrentBookValue]]*(-1)</calculatedColumnFormula>
    </tableColumn>
    <tableColumn id="8" name="CurrentBookValue" dataDxfId="61" totalsRowDxfId="60"/>
    <tableColumn id="9" name="CurrentChange" totalsRowFunction="custom" dataDxfId="59" totalsRowDxfId="58">
      <totalsRowFormula>H102+J102-K102</totalsRow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1:M103" totalsRowCount="1" headerRowDxfId="57" dataDxfId="56" totalsRowDxfId="55">
  <autoFilter ref="A11:M102"/>
  <tableColumns count="13">
    <tableColumn id="1" name="AssetName" dataDxfId="54" totalsRowDxfId="53"/>
    <tableColumn id="2" name="PeriodPureDividendPayment" totalsRowFunction="custom" dataDxfId="52" totalsRowDxfId="51">
      <totalsRowFormula>B102-'درآمد سود سهام'!G20</totalsRowFormula>
    </tableColumn>
    <tableColumn id="3" name="PeriodChange" totalsRowFunction="custom" dataDxfId="50" totalsRowDxfId="49">
      <totalsRowFormula>SUM(C12:C102)</totalsRowFormula>
    </tableColumn>
    <tableColumn id="4" name="PeriodTotalCostProfitLoss" dataDxfId="48" totalsRowDxfId="47"/>
    <tableColumn id="5" name="PeriodAmountSum" totalsRowFunction="custom" dataDxfId="46" totalsRowDxfId="45">
      <calculatedColumnFormula>D12+C12+B12</calculatedColumnFormula>
      <totalsRowFormula>SUM(E12:E102)</totalsRowFormula>
    </tableColumn>
    <tableColumn id="6" name="Column1" dataDxfId="44" totalsRowDxfId="43">
      <calculatedColumnFormula>(Table8[[#This Row],[PeriodAmountSum]]/Table8[[#This Row],[Column3]])*100</calculatedColumnFormula>
    </tableColumn>
    <tableColumn id="7" name="CurrentPureDividendPayment" totalsRowFunction="custom" dataDxfId="42" totalsRowDxfId="41">
      <totalsRowFormula>G102-'درآمد سود سهام'!J20</totalsRowFormula>
    </tableColumn>
    <tableColumn id="8" name="CurrentChange" dataDxfId="40" totalsRowDxfId="39"/>
    <tableColumn id="9" name="CurrentTotalCostProfitLoss" dataDxfId="38" totalsRowDxfId="37"/>
    <tableColumn id="10" name="CurrentAmountSum" dataDxfId="36" totalsRowDxfId="35">
      <calculatedColumnFormula>Table8[[#This Row],[CurrentTotalCostProfitLoss]]+Table8[[#This Row],[CurrentChange]]+Table8[[#This Row],[CurrentPureDividendPayment]]</calculatedColumnFormula>
    </tableColumn>
    <tableColumn id="11" name="CurrentPercent" dataDxfId="34" totalsRowDxfId="33">
      <calculatedColumnFormula>(Table8[[#This Row],[CurrentAmountSum]]/Table8[[#This Row],[Column2]])*100</calculatedColumnFormula>
    </tableColumn>
    <tableColumn id="13" name="Column2" dataDxfId="32" totalsRowDxfId="31">
      <calculatedColumnFormula>درآمدها!C10</calculatedColumnFormula>
    </tableColumn>
    <tableColumn id="14" name="Column3" dataDxfId="30" totalsRowDxfId="2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9:I41" totalsRowCount="1" headerRowDxfId="28" dataDxfId="27" totalsRowDxfId="26">
  <autoFilter ref="A9:I40"/>
  <tableColumns count="9">
    <tableColumn id="1" name="AssetName" dataDxfId="25" totalsRowDxfId="24"/>
    <tableColumn id="2" name="PeriodPureInterestPayment" dataDxfId="23" totalsRowDxfId="22"/>
    <tableColumn id="3" name="PeriodChange" dataDxfId="21" totalsRowDxfId="20"/>
    <tableColumn id="4" name="PeriodTotalCostProfitLoss" dataDxfId="19" totalsRowDxfId="18"/>
    <tableColumn id="5" name="PeriodAmountSum" dataDxfId="17" totalsRowDxfId="16"/>
    <tableColumn id="6" name="CurrentPureInterestPayment" dataDxfId="15" totalsRowDxfId="14"/>
    <tableColumn id="7" name="CurrentChange" dataDxfId="13" totalsRowDxfId="12"/>
    <tableColumn id="8" name="CurrentTotalCostProfitLoss" dataDxfId="11" totalsRowDxfId="10"/>
    <tableColumn id="9" name="CurrentAmountSum" dataDxfId="9" totalsRow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view="pageBreakPreview" zoomScale="60" zoomScaleNormal="100" workbookViewId="0">
      <selection activeCell="E43" sqref="E43"/>
    </sheetView>
  </sheetViews>
  <sheetFormatPr defaultRowHeight="22.5"/>
  <cols>
    <col min="1" max="8" width="9.140625" style="1"/>
    <col min="9" max="9" width="39.5703125" style="1" customWidth="1"/>
    <col min="10" max="16384" width="9.140625" style="1"/>
  </cols>
  <sheetData>
    <row r="3" spans="1:17" ht="36">
      <c r="A3" s="97" t="s">
        <v>257</v>
      </c>
      <c r="B3" s="97"/>
      <c r="C3" s="97"/>
      <c r="D3" s="97"/>
      <c r="E3" s="97"/>
      <c r="F3" s="97"/>
      <c r="G3" s="97"/>
      <c r="H3" s="97"/>
      <c r="I3" s="97"/>
    </row>
    <row r="6" spans="1:17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>
      <c r="A15" s="100" t="s">
        <v>0</v>
      </c>
      <c r="B15" s="100"/>
      <c r="C15" s="100"/>
      <c r="D15" s="100"/>
      <c r="E15" s="100"/>
      <c r="F15" s="100"/>
      <c r="G15" s="100"/>
      <c r="H15" s="100"/>
      <c r="I15" s="100"/>
      <c r="J15" s="2"/>
      <c r="K15" s="2"/>
      <c r="L15" s="2"/>
      <c r="M15" s="2"/>
      <c r="N15" s="2"/>
      <c r="O15" s="2"/>
      <c r="P15" s="2"/>
      <c r="Q15" s="2"/>
    </row>
    <row r="16" spans="1:17" ht="36" customHeight="1">
      <c r="A16" s="100"/>
      <c r="B16" s="100"/>
      <c r="C16" s="100"/>
      <c r="D16" s="100"/>
      <c r="E16" s="100"/>
      <c r="F16" s="100"/>
      <c r="G16" s="100"/>
      <c r="H16" s="100"/>
      <c r="I16" s="100"/>
    </row>
    <row r="17" spans="1:9" ht="15" customHeight="1">
      <c r="A17" s="101" t="s">
        <v>258</v>
      </c>
      <c r="B17" s="101"/>
      <c r="C17" s="101"/>
      <c r="D17" s="101"/>
      <c r="E17" s="101"/>
      <c r="F17" s="101"/>
      <c r="G17" s="101"/>
      <c r="H17" s="101"/>
      <c r="I17" s="101"/>
    </row>
    <row r="18" spans="1:9" ht="15" customHeight="1">
      <c r="A18" s="101"/>
      <c r="B18" s="101"/>
      <c r="C18" s="101"/>
      <c r="D18" s="101"/>
      <c r="E18" s="101"/>
      <c r="F18" s="101"/>
      <c r="G18" s="101"/>
      <c r="H18" s="101"/>
      <c r="I18" s="101"/>
    </row>
    <row r="19" spans="1:9" ht="15" customHeight="1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ht="15" customHeight="1">
      <c r="A20" s="101" t="s">
        <v>259</v>
      </c>
      <c r="B20" s="101"/>
      <c r="C20" s="101"/>
      <c r="D20" s="101"/>
      <c r="E20" s="101"/>
      <c r="F20" s="101"/>
      <c r="G20" s="101"/>
      <c r="H20" s="101"/>
      <c r="I20" s="101"/>
    </row>
    <row r="21" spans="1:9" ht="15" customHeight="1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5" customHeight="1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ht="15" customHeight="1">
      <c r="A23" s="101"/>
      <c r="B23" s="101"/>
      <c r="C23" s="101"/>
      <c r="D23" s="101"/>
      <c r="E23" s="101"/>
      <c r="F23" s="101"/>
      <c r="G23" s="101"/>
      <c r="H23" s="101"/>
      <c r="I23" s="101"/>
    </row>
    <row r="24" spans="1:9" ht="15" customHeight="1">
      <c r="A24" s="3"/>
      <c r="B24" s="3"/>
      <c r="C24" s="3"/>
      <c r="D24" s="3"/>
      <c r="E24" s="3"/>
      <c r="F24" s="3"/>
      <c r="G24" s="3"/>
      <c r="H24" s="3"/>
      <c r="I24" s="3"/>
    </row>
    <row r="37" spans="6:8">
      <c r="F37" s="98"/>
      <c r="G37" s="99"/>
      <c r="H37" s="99"/>
    </row>
    <row r="38" spans="6:8">
      <c r="F38" s="99"/>
      <c r="G38" s="99"/>
      <c r="H38" s="99"/>
    </row>
    <row r="39" spans="6:8">
      <c r="F39" s="99"/>
      <c r="G39" s="99"/>
      <c r="H39" s="99"/>
    </row>
  </sheetData>
  <mergeCells count="5">
    <mergeCell ref="A3:I3"/>
    <mergeCell ref="F37:H39"/>
    <mergeCell ref="A15:I16"/>
    <mergeCell ref="A17:I19"/>
    <mergeCell ref="A20:I23"/>
  </mergeCells>
  <pageMargins left="0.7" right="0.7" top="0.75" bottom="0.75" header="0.3" footer="0.3"/>
  <pageSetup orientation="landscape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rightToLeft="1" view="pageBreakPreview" topLeftCell="B93" zoomScale="106" zoomScaleNormal="100" zoomScaleSheetLayoutView="106" workbookViewId="0">
      <selection activeCell="P102" sqref="P102"/>
    </sheetView>
  </sheetViews>
  <sheetFormatPr defaultRowHeight="22.5"/>
  <cols>
    <col min="1" max="1" width="32.140625" style="53" customWidth="1"/>
    <col min="2" max="2" width="23" style="53" customWidth="1"/>
    <col min="3" max="3" width="16.42578125" style="53" customWidth="1"/>
    <col min="4" max="4" width="21" style="53" customWidth="1"/>
    <col min="5" max="5" width="16.42578125" style="53" customWidth="1"/>
    <col min="6" max="6" width="19.42578125" style="81" customWidth="1"/>
    <col min="7" max="7" width="23.85546875" style="53" customWidth="1"/>
    <col min="8" max="8" width="17.7109375" style="53" customWidth="1"/>
    <col min="9" max="9" width="21.85546875" style="53" customWidth="1"/>
    <col min="10" max="10" width="17.7109375" style="53" customWidth="1"/>
    <col min="11" max="11" width="18.140625" style="84" customWidth="1"/>
    <col min="12" max="12" width="24.85546875" style="52" hidden="1" customWidth="1"/>
    <col min="13" max="13" width="21.7109375" style="52" hidden="1" customWidth="1"/>
    <col min="14" max="16384" width="9.140625" style="52"/>
  </cols>
  <sheetData>
    <row r="1" spans="1:1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>
      <c r="A2" s="128" t="s">
        <v>260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>
      <c r="A3" s="128" t="s">
        <v>261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5" spans="1:13">
      <c r="A5" s="132" t="s">
        <v>306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7" spans="1:13" ht="19.5" customHeight="1" thickBot="1">
      <c r="A7" s="59"/>
      <c r="B7" s="131" t="s">
        <v>406</v>
      </c>
      <c r="C7" s="131"/>
      <c r="D7" s="131"/>
      <c r="E7" s="131"/>
      <c r="F7" s="131"/>
      <c r="G7" s="131" t="s">
        <v>263</v>
      </c>
      <c r="H7" s="131"/>
      <c r="I7" s="131"/>
      <c r="J7" s="131"/>
      <c r="K7" s="131"/>
    </row>
    <row r="8" spans="1:13" ht="19.5" customHeight="1">
      <c r="A8" s="128" t="s">
        <v>307</v>
      </c>
      <c r="B8" s="129" t="s">
        <v>308</v>
      </c>
      <c r="C8" s="129" t="s">
        <v>265</v>
      </c>
      <c r="D8" s="129" t="s">
        <v>266</v>
      </c>
      <c r="E8" s="129" t="s">
        <v>101</v>
      </c>
      <c r="F8" s="129"/>
      <c r="G8" s="129" t="s">
        <v>308</v>
      </c>
      <c r="H8" s="129" t="s">
        <v>265</v>
      </c>
      <c r="I8" s="129" t="s">
        <v>266</v>
      </c>
      <c r="J8" s="129" t="s">
        <v>101</v>
      </c>
      <c r="K8" s="129"/>
    </row>
    <row r="9" spans="1:13" ht="18.75" customHeight="1" thickBot="1">
      <c r="A9" s="128"/>
      <c r="B9" s="130"/>
      <c r="C9" s="130"/>
      <c r="D9" s="130"/>
      <c r="E9" s="131"/>
      <c r="F9" s="131"/>
      <c r="G9" s="130"/>
      <c r="H9" s="130"/>
      <c r="I9" s="130"/>
      <c r="J9" s="131"/>
      <c r="K9" s="131"/>
    </row>
    <row r="10" spans="1:13" ht="24" customHeight="1" thickBot="1">
      <c r="A10" s="127"/>
      <c r="B10" s="60"/>
      <c r="C10" s="60"/>
      <c r="D10" s="60"/>
      <c r="E10" s="61" t="s">
        <v>12</v>
      </c>
      <c r="F10" s="79" t="s">
        <v>309</v>
      </c>
      <c r="G10" s="60"/>
      <c r="H10" s="60"/>
      <c r="I10" s="60"/>
      <c r="J10" s="61" t="s">
        <v>12</v>
      </c>
      <c r="K10" s="82" t="s">
        <v>309</v>
      </c>
    </row>
    <row r="11" spans="1:13" ht="22.5" hidden="1" customHeight="1">
      <c r="A11" s="55" t="s">
        <v>116</v>
      </c>
      <c r="B11" s="33" t="s">
        <v>310</v>
      </c>
      <c r="C11" s="33" t="s">
        <v>268</v>
      </c>
      <c r="D11" s="33" t="s">
        <v>269</v>
      </c>
      <c r="E11" s="33" t="s">
        <v>270</v>
      </c>
      <c r="F11" s="80" t="s">
        <v>404</v>
      </c>
      <c r="G11" s="33" t="s">
        <v>311</v>
      </c>
      <c r="H11" s="33" t="s">
        <v>272</v>
      </c>
      <c r="I11" s="33" t="s">
        <v>273</v>
      </c>
      <c r="J11" s="33" t="s">
        <v>274</v>
      </c>
      <c r="K11" s="83" t="s">
        <v>312</v>
      </c>
      <c r="L11" s="52" t="s">
        <v>405</v>
      </c>
      <c r="M11" s="52" t="s">
        <v>407</v>
      </c>
    </row>
    <row r="12" spans="1:13" ht="23.1" customHeight="1">
      <c r="A12" s="55" t="s">
        <v>129</v>
      </c>
      <c r="B12" s="33">
        <v>0</v>
      </c>
      <c r="C12" s="33">
        <v>-19086248</v>
      </c>
      <c r="D12" s="33">
        <v>779329692</v>
      </c>
      <c r="E12" s="33">
        <f t="shared" ref="E12:E43" si="0">D12+C12+B12</f>
        <v>760243444</v>
      </c>
      <c r="F12" s="80">
        <f>(Table8[[#This Row],[PeriodAmountSum]]/Table8[[#This Row],[Column3]])*100</f>
        <v>2.2765013477145688E-2</v>
      </c>
      <c r="G12" s="33">
        <v>718719564</v>
      </c>
      <c r="H12" s="33">
        <v>297595650</v>
      </c>
      <c r="I12" s="33">
        <f>'درآمد ناشی ازفروش'!K73</f>
        <v>-2606735987</v>
      </c>
      <c r="J12" s="33">
        <f>Table8[[#This Row],[CurrentTotalCostProfitLoss]]+Table8[[#This Row],[CurrentChange]]+Table8[[#This Row],[CurrentPureDividendPayment]]</f>
        <v>-1590420773</v>
      </c>
      <c r="K12" s="83">
        <f>(Table8[[#This Row],[CurrentAmountSum]]/Table8[[#This Row],[Column2]])*100</f>
        <v>6.7585889457733375E-2</v>
      </c>
      <c r="L12" s="52">
        <v>-2353184645139</v>
      </c>
      <c r="M12" s="52">
        <v>3339525560849</v>
      </c>
    </row>
    <row r="13" spans="1:13" ht="23.1" customHeight="1">
      <c r="A13" s="55" t="s">
        <v>130</v>
      </c>
      <c r="B13" s="33">
        <f>'درآمد سود سهام'!G12</f>
        <v>1116606</v>
      </c>
      <c r="C13" s="33">
        <v>3232820766</v>
      </c>
      <c r="D13" s="33">
        <v>-2235252739</v>
      </c>
      <c r="E13" s="33">
        <f t="shared" si="0"/>
        <v>998684633</v>
      </c>
      <c r="F13" s="80">
        <f>(Table8[[#This Row],[PeriodAmountSum]]/Table8[[#This Row],[Column3]])*100</f>
        <v>2.9904985447876214E-2</v>
      </c>
      <c r="G13" s="33">
        <f>'درآمد سود سهام'!J12</f>
        <v>86919000</v>
      </c>
      <c r="H13" s="33">
        <v>-3661835496</v>
      </c>
      <c r="I13" s="33">
        <f>'درآمد ناشی ازفروش'!K70</f>
        <v>2945647010</v>
      </c>
      <c r="J13" s="33">
        <f>Table8[[#This Row],[CurrentTotalCostProfitLoss]]+Table8[[#This Row],[CurrentChange]]+Table8[[#This Row],[CurrentPureDividendPayment]]</f>
        <v>-629269486</v>
      </c>
      <c r="K13" s="83">
        <f>(Table8[[#This Row],[CurrentAmountSum]]/Table8[[#This Row],[Column2]])*100</f>
        <v>2.6741186132583732E-2</v>
      </c>
      <c r="L13" s="52">
        <v>-2353184645139</v>
      </c>
      <c r="M13" s="52">
        <v>3339525560849</v>
      </c>
    </row>
    <row r="14" spans="1:13" ht="23.1" customHeight="1">
      <c r="A14" s="55" t="s">
        <v>131</v>
      </c>
      <c r="B14" s="33">
        <v>0</v>
      </c>
      <c r="C14" s="33">
        <v>-20501057896</v>
      </c>
      <c r="D14" s="33">
        <v>-3953909861</v>
      </c>
      <c r="E14" s="33">
        <f t="shared" si="0"/>
        <v>-24454967757</v>
      </c>
      <c r="F14" s="80">
        <f>(Table8[[#This Row],[PeriodAmountSum]]/Table8[[#This Row],[Column3]])*100</f>
        <v>-0.73228868326981356</v>
      </c>
      <c r="G14" s="33">
        <v>0</v>
      </c>
      <c r="H14" s="33">
        <v>-75145134007</v>
      </c>
      <c r="I14" s="33">
        <v>-159214121</v>
      </c>
      <c r="J14" s="33">
        <f>Table8[[#This Row],[CurrentTotalCostProfitLoss]]+Table8[[#This Row],[CurrentChange]]+Table8[[#This Row],[CurrentPureDividendPayment]]</f>
        <v>-75304348128</v>
      </c>
      <c r="K14" s="83">
        <f>(Table8[[#This Row],[CurrentAmountSum]]/Table8[[#This Row],[Column2]])*100</f>
        <v>3.2001036673240684</v>
      </c>
      <c r="L14" s="52">
        <v>-2353184645139</v>
      </c>
      <c r="M14" s="52">
        <v>3339525560849</v>
      </c>
    </row>
    <row r="15" spans="1:13" ht="23.1" customHeight="1">
      <c r="A15" s="55" t="s">
        <v>132</v>
      </c>
      <c r="B15" s="33">
        <v>0</v>
      </c>
      <c r="C15" s="33">
        <v>-17092137672</v>
      </c>
      <c r="D15" s="33">
        <v>-3542111422</v>
      </c>
      <c r="E15" s="33">
        <f t="shared" si="0"/>
        <v>-20634249094</v>
      </c>
      <c r="F15" s="80">
        <f>(Table8[[#This Row],[PeriodAmountSum]]/Table8[[#This Row],[Column3]])*100</f>
        <v>-0.61787965739523198</v>
      </c>
      <c r="G15" s="33">
        <v>0</v>
      </c>
      <c r="H15" s="33">
        <v>-44011893224</v>
      </c>
      <c r="I15" s="33">
        <v>7135938317</v>
      </c>
      <c r="J15" s="33">
        <f>Table8[[#This Row],[CurrentTotalCostProfitLoss]]+Table8[[#This Row],[CurrentChange]]+Table8[[#This Row],[CurrentPureDividendPayment]]</f>
        <v>-36875954907</v>
      </c>
      <c r="K15" s="83">
        <f>(Table8[[#This Row],[CurrentAmountSum]]/Table8[[#This Row],[Column2]])*100</f>
        <v>1.5670659326787244</v>
      </c>
      <c r="L15" s="52">
        <v>-2353184645139</v>
      </c>
      <c r="M15" s="52">
        <v>3339525560849</v>
      </c>
    </row>
    <row r="16" spans="1:13" ht="23.1" customHeight="1">
      <c r="A16" s="55" t="s">
        <v>133</v>
      </c>
      <c r="B16" s="33">
        <v>0</v>
      </c>
      <c r="C16" s="33">
        <v>-49076521066</v>
      </c>
      <c r="D16" s="33">
        <v>-2710126392</v>
      </c>
      <c r="E16" s="33">
        <f t="shared" si="0"/>
        <v>-51786647458</v>
      </c>
      <c r="F16" s="80">
        <f>(Table8[[#This Row],[PeriodAmountSum]]/Table8[[#This Row],[Column3]])*100</f>
        <v>-1.5507187028337761</v>
      </c>
      <c r="G16" s="33">
        <v>0</v>
      </c>
      <c r="H16" s="33">
        <v>-82916963331</v>
      </c>
      <c r="I16" s="33">
        <v>-11501701213</v>
      </c>
      <c r="J16" s="33">
        <f>Table8[[#This Row],[CurrentTotalCostProfitLoss]]+Table8[[#This Row],[CurrentChange]]+Table8[[#This Row],[CurrentPureDividendPayment]]</f>
        <v>-94418664544</v>
      </c>
      <c r="K16" s="83">
        <f>(Table8[[#This Row],[CurrentAmountSum]]/Table8[[#This Row],[Column2]])*100</f>
        <v>4.0123780655734649</v>
      </c>
      <c r="L16" s="52">
        <v>-2353184645139</v>
      </c>
      <c r="M16" s="52">
        <v>3339525560849</v>
      </c>
    </row>
    <row r="17" spans="1:13" ht="23.1" customHeight="1">
      <c r="A17" s="55" t="s">
        <v>134</v>
      </c>
      <c r="B17" s="33">
        <v>0</v>
      </c>
      <c r="C17" s="33">
        <v>1315806600</v>
      </c>
      <c r="D17" s="33">
        <v>-8212804954</v>
      </c>
      <c r="E17" s="33">
        <f t="shared" si="0"/>
        <v>-6896998354</v>
      </c>
      <c r="F17" s="80">
        <f>(Table8[[#This Row],[PeriodAmountSum]]/Table8[[#This Row],[Column3]])*100</f>
        <v>-0.20652629328121061</v>
      </c>
      <c r="G17" s="33">
        <v>0</v>
      </c>
      <c r="H17" s="33">
        <v>-96659724440</v>
      </c>
      <c r="I17" s="33">
        <v>-20593912669</v>
      </c>
      <c r="J17" s="33">
        <f>Table8[[#This Row],[CurrentTotalCostProfitLoss]]+Table8[[#This Row],[CurrentChange]]+Table8[[#This Row],[CurrentPureDividendPayment]]</f>
        <v>-117253637109</v>
      </c>
      <c r="K17" s="83">
        <f>(Table8[[#This Row],[CurrentAmountSum]]/Table8[[#This Row],[Column2]])*100</f>
        <v>4.9827639896942282</v>
      </c>
      <c r="L17" s="52">
        <v>-2353184645139</v>
      </c>
      <c r="M17" s="52">
        <v>3339525560849</v>
      </c>
    </row>
    <row r="18" spans="1:13" ht="23.1" customHeight="1">
      <c r="A18" s="55" t="s">
        <v>135</v>
      </c>
      <c r="B18" s="33">
        <v>0</v>
      </c>
      <c r="C18" s="33">
        <v>3380503665</v>
      </c>
      <c r="D18" s="33">
        <v>7043684144</v>
      </c>
      <c r="E18" s="33">
        <f t="shared" si="0"/>
        <v>10424187809</v>
      </c>
      <c r="F18" s="80">
        <f>(Table8[[#This Row],[PeriodAmountSum]]/Table8[[#This Row],[Column3]])*100</f>
        <v>0.31214577098041085</v>
      </c>
      <c r="G18" s="33">
        <v>0</v>
      </c>
      <c r="H18" s="33">
        <v>2568581351</v>
      </c>
      <c r="I18" s="33">
        <v>16482674183</v>
      </c>
      <c r="J18" s="33">
        <f>Table8[[#This Row],[CurrentTotalCostProfitLoss]]+Table8[[#This Row],[CurrentChange]]+Table8[[#This Row],[CurrentPureDividendPayment]]</f>
        <v>19051255534</v>
      </c>
      <c r="K18" s="83">
        <f>(Table8[[#This Row],[CurrentAmountSum]]/Table8[[#This Row],[Column2]])*100</f>
        <v>-0.8095945880555695</v>
      </c>
      <c r="L18" s="52">
        <v>-2353184645139</v>
      </c>
      <c r="M18" s="52">
        <v>3339525560849</v>
      </c>
    </row>
    <row r="19" spans="1:13" ht="23.1" customHeight="1">
      <c r="A19" s="55" t="s">
        <v>136</v>
      </c>
      <c r="B19" s="33">
        <v>0</v>
      </c>
      <c r="C19" s="33">
        <v>-712349028</v>
      </c>
      <c r="D19" s="33">
        <v>2827436541</v>
      </c>
      <c r="E19" s="33">
        <f t="shared" si="0"/>
        <v>2115087513</v>
      </c>
      <c r="F19" s="80">
        <f>(Table8[[#This Row],[PeriodAmountSum]]/Table8[[#This Row],[Column3]])*100</f>
        <v>6.3334970026768897E-2</v>
      </c>
      <c r="G19" s="33">
        <v>0</v>
      </c>
      <c r="H19" s="33">
        <v>-712349028</v>
      </c>
      <c r="I19" s="33">
        <v>13669249188</v>
      </c>
      <c r="J19" s="33">
        <f>Table8[[#This Row],[CurrentTotalCostProfitLoss]]+Table8[[#This Row],[CurrentChange]]+Table8[[#This Row],[CurrentPureDividendPayment]]</f>
        <v>12956900160</v>
      </c>
      <c r="K19" s="83">
        <f>(Table8[[#This Row],[CurrentAmountSum]]/Table8[[#This Row],[Column2]])*100</f>
        <v>-0.55061128274677529</v>
      </c>
      <c r="L19" s="52">
        <v>-2353184645139</v>
      </c>
      <c r="M19" s="52">
        <v>3339525560849</v>
      </c>
    </row>
    <row r="20" spans="1:13" ht="23.1" customHeight="1">
      <c r="A20" s="55" t="s">
        <v>137</v>
      </c>
      <c r="B20" s="33">
        <v>0</v>
      </c>
      <c r="C20" s="33">
        <v>-2681664880</v>
      </c>
      <c r="D20" s="33">
        <v>1425952795</v>
      </c>
      <c r="E20" s="33">
        <f t="shared" si="0"/>
        <v>-1255712085</v>
      </c>
      <c r="F20" s="80">
        <f>(Table8[[#This Row],[PeriodAmountSum]]/Table8[[#This Row],[Column3]])*100</f>
        <v>-3.7601511415913919E-2</v>
      </c>
      <c r="G20" s="33">
        <v>0</v>
      </c>
      <c r="H20" s="33">
        <v>-2681664880</v>
      </c>
      <c r="I20" s="33">
        <v>22865433302</v>
      </c>
      <c r="J20" s="33">
        <f>Table8[[#This Row],[CurrentTotalCostProfitLoss]]+Table8[[#This Row],[CurrentChange]]+Table8[[#This Row],[CurrentPureDividendPayment]]</f>
        <v>20183768422</v>
      </c>
      <c r="K20" s="83">
        <f>(Table8[[#This Row],[CurrentAmountSum]]/Table8[[#This Row],[Column2]])*100</f>
        <v>-0.85772140591235968</v>
      </c>
      <c r="L20" s="52">
        <v>-2353184645139</v>
      </c>
      <c r="M20" s="52">
        <v>3339525560849</v>
      </c>
    </row>
    <row r="21" spans="1:13" ht="23.1" customHeight="1">
      <c r="A21" s="55" t="s">
        <v>138</v>
      </c>
      <c r="B21" s="33">
        <v>0</v>
      </c>
      <c r="C21" s="33">
        <v>-18532973904</v>
      </c>
      <c r="D21" s="33">
        <v>-2345324845</v>
      </c>
      <c r="E21" s="33">
        <f t="shared" si="0"/>
        <v>-20878298749</v>
      </c>
      <c r="F21" s="80">
        <f>(Table8[[#This Row],[PeriodAmountSum]]/Table8[[#This Row],[Column3]])*100</f>
        <v>-0.62518757136544145</v>
      </c>
      <c r="G21" s="33">
        <v>0</v>
      </c>
      <c r="H21" s="33">
        <v>-23677896461</v>
      </c>
      <c r="I21" s="33">
        <v>12022445818</v>
      </c>
      <c r="J21" s="33">
        <f>Table8[[#This Row],[CurrentTotalCostProfitLoss]]+Table8[[#This Row],[CurrentChange]]+Table8[[#This Row],[CurrentPureDividendPayment]]</f>
        <v>-11655450643</v>
      </c>
      <c r="K21" s="83">
        <f>(Table8[[#This Row],[CurrentAmountSum]]/Table8[[#This Row],[Column2]])*100</f>
        <v>0.4953054010052631</v>
      </c>
      <c r="L21" s="52">
        <v>-2353184645139</v>
      </c>
      <c r="M21" s="52">
        <v>3339525560849</v>
      </c>
    </row>
    <row r="22" spans="1:13" ht="23.1" customHeight="1">
      <c r="A22" s="55" t="s">
        <v>139</v>
      </c>
      <c r="B22" s="33">
        <v>0</v>
      </c>
      <c r="C22" s="33">
        <v>-8268645260</v>
      </c>
      <c r="D22" s="33">
        <v>5604676086</v>
      </c>
      <c r="E22" s="33">
        <f t="shared" si="0"/>
        <v>-2663969174</v>
      </c>
      <c r="F22" s="80">
        <f>(Table8[[#This Row],[PeriodAmountSum]]/Table8[[#This Row],[Column3]])*100</f>
        <v>-7.9770887374874436E-2</v>
      </c>
      <c r="G22" s="33">
        <v>0</v>
      </c>
      <c r="H22" s="33">
        <v>-6279560869</v>
      </c>
      <c r="I22" s="33">
        <v>50415182917</v>
      </c>
      <c r="J22" s="33">
        <f>Table8[[#This Row],[CurrentTotalCostProfitLoss]]+Table8[[#This Row],[CurrentChange]]+Table8[[#This Row],[CurrentPureDividendPayment]]</f>
        <v>44135622048</v>
      </c>
      <c r="K22" s="83">
        <f>(Table8[[#This Row],[CurrentAmountSum]]/Table8[[#This Row],[Column2]])*100</f>
        <v>-1.8755698639786493</v>
      </c>
      <c r="L22" s="52">
        <v>-2353184645139</v>
      </c>
      <c r="M22" s="52">
        <v>3339525560849</v>
      </c>
    </row>
    <row r="23" spans="1:13" ht="23.1" customHeight="1">
      <c r="A23" s="55" t="s">
        <v>140</v>
      </c>
      <c r="B23" s="33">
        <v>0</v>
      </c>
      <c r="C23" s="33">
        <v>-830616183</v>
      </c>
      <c r="D23" s="33">
        <v>-4722047897</v>
      </c>
      <c r="E23" s="33">
        <f t="shared" si="0"/>
        <v>-5552664080</v>
      </c>
      <c r="F23" s="80">
        <f>(Table8[[#This Row],[PeriodAmountSum]]/Table8[[#This Row],[Column3]])*100</f>
        <v>-0.16627104595625131</v>
      </c>
      <c r="G23" s="33">
        <v>0</v>
      </c>
      <c r="H23" s="33">
        <v>-54887013729</v>
      </c>
      <c r="I23" s="33">
        <v>1364445357</v>
      </c>
      <c r="J23" s="33">
        <f>Table8[[#This Row],[CurrentTotalCostProfitLoss]]+Table8[[#This Row],[CurrentChange]]+Table8[[#This Row],[CurrentPureDividendPayment]]</f>
        <v>-53522568372</v>
      </c>
      <c r="K23" s="83">
        <f>(Table8[[#This Row],[CurrentAmountSum]]/Table8[[#This Row],[Column2]])*100</f>
        <v>2.2744738064886736</v>
      </c>
      <c r="L23" s="52">
        <v>-2353184645139</v>
      </c>
      <c r="M23" s="52">
        <v>3339525560849</v>
      </c>
    </row>
    <row r="24" spans="1:13" ht="23.1" customHeight="1">
      <c r="A24" s="55" t="s">
        <v>141</v>
      </c>
      <c r="B24" s="33">
        <v>0</v>
      </c>
      <c r="C24" s="33">
        <v>-11448025603</v>
      </c>
      <c r="D24" s="33">
        <v>-6695240931</v>
      </c>
      <c r="E24" s="33">
        <f t="shared" si="0"/>
        <v>-18143266534</v>
      </c>
      <c r="F24" s="80">
        <f>(Table8[[#This Row],[PeriodAmountSum]]/Table8[[#This Row],[Column3]])*100</f>
        <v>-0.54328874576385866</v>
      </c>
      <c r="G24" s="33">
        <v>0</v>
      </c>
      <c r="H24" s="33">
        <v>-30300245539</v>
      </c>
      <c r="I24" s="33">
        <v>-423455691</v>
      </c>
      <c r="J24" s="33">
        <f>Table8[[#This Row],[CurrentTotalCostProfitLoss]]+Table8[[#This Row],[CurrentChange]]+Table8[[#This Row],[CurrentPureDividendPayment]]</f>
        <v>-30723701230</v>
      </c>
      <c r="K24" s="83">
        <f>(Table8[[#This Row],[CurrentAmountSum]]/Table8[[#This Row],[Column2]])*100</f>
        <v>1.3056222040827223</v>
      </c>
      <c r="L24" s="52">
        <v>-2353184645139</v>
      </c>
      <c r="M24" s="52">
        <v>3339525560849</v>
      </c>
    </row>
    <row r="25" spans="1:13" ht="23.1" customHeight="1">
      <c r="A25" s="55" t="s">
        <v>142</v>
      </c>
      <c r="B25" s="33">
        <v>0</v>
      </c>
      <c r="C25" s="33">
        <v>66203205356</v>
      </c>
      <c r="D25" s="33">
        <v>8965505804</v>
      </c>
      <c r="E25" s="33">
        <f t="shared" si="0"/>
        <v>75168711160</v>
      </c>
      <c r="F25" s="80">
        <f>(Table8[[#This Row],[PeriodAmountSum]]/Table8[[#This Row],[Column3]])*100</f>
        <v>2.2508799465781011</v>
      </c>
      <c r="G25" s="33">
        <v>0</v>
      </c>
      <c r="H25" s="33">
        <v>28569035587</v>
      </c>
      <c r="I25" s="33">
        <v>20945771329</v>
      </c>
      <c r="J25" s="33">
        <f>Table8[[#This Row],[CurrentTotalCostProfitLoss]]+Table8[[#This Row],[CurrentChange]]+Table8[[#This Row],[CurrentPureDividendPayment]]</f>
        <v>49514806916</v>
      </c>
      <c r="K25" s="83">
        <f>(Table8[[#This Row],[CurrentAmountSum]]/Table8[[#This Row],[Column2]])*100</f>
        <v>-2.1041615675286378</v>
      </c>
      <c r="L25" s="52">
        <v>-2353184645139</v>
      </c>
      <c r="M25" s="52">
        <v>3339525560849</v>
      </c>
    </row>
    <row r="26" spans="1:13" ht="23.1" customHeight="1">
      <c r="A26" s="55" t="s">
        <v>143</v>
      </c>
      <c r="B26" s="33">
        <v>0</v>
      </c>
      <c r="C26" s="33">
        <v>14704692825</v>
      </c>
      <c r="D26" s="33">
        <v>1464394972</v>
      </c>
      <c r="E26" s="33">
        <f t="shared" si="0"/>
        <v>16169087797</v>
      </c>
      <c r="F26" s="80">
        <f>(Table8[[#This Row],[PeriodAmountSum]]/Table8[[#This Row],[Column3]])*100</f>
        <v>0.48417320072523623</v>
      </c>
      <c r="G26" s="33">
        <v>0</v>
      </c>
      <c r="H26" s="33">
        <v>2527809814</v>
      </c>
      <c r="I26" s="33">
        <v>12156010258</v>
      </c>
      <c r="J26" s="33">
        <f>Table8[[#This Row],[CurrentTotalCostProfitLoss]]+Table8[[#This Row],[CurrentChange]]+Table8[[#This Row],[CurrentPureDividendPayment]]</f>
        <v>14683820072</v>
      </c>
      <c r="K26" s="83">
        <f>(Table8[[#This Row],[CurrentAmountSum]]/Table8[[#This Row],[Column2]])*100</f>
        <v>-0.62399778539829132</v>
      </c>
      <c r="L26" s="52">
        <v>-2353184645139</v>
      </c>
      <c r="M26" s="52">
        <v>3339525560849</v>
      </c>
    </row>
    <row r="27" spans="1:13" ht="23.1" customHeight="1">
      <c r="A27" s="55" t="s">
        <v>144</v>
      </c>
      <c r="B27" s="33">
        <v>0</v>
      </c>
      <c r="C27" s="33">
        <v>538980232</v>
      </c>
      <c r="D27" s="33">
        <v>9945849336</v>
      </c>
      <c r="E27" s="33">
        <f t="shared" si="0"/>
        <v>10484829568</v>
      </c>
      <c r="F27" s="80">
        <f>(Table8[[#This Row],[PeriodAmountSum]]/Table8[[#This Row],[Column3]])*100</f>
        <v>0.31396165044876811</v>
      </c>
      <c r="G27" s="33">
        <v>0</v>
      </c>
      <c r="H27" s="33">
        <v>808144006</v>
      </c>
      <c r="I27" s="33">
        <v>17988688540</v>
      </c>
      <c r="J27" s="33">
        <f>Table8[[#This Row],[CurrentTotalCostProfitLoss]]+Table8[[#This Row],[CurrentChange]]+Table8[[#This Row],[CurrentPureDividendPayment]]</f>
        <v>18796832546</v>
      </c>
      <c r="K27" s="83">
        <f>(Table8[[#This Row],[CurrentAmountSum]]/Table8[[#This Row],[Column2]])*100</f>
        <v>-0.79878272981377929</v>
      </c>
      <c r="L27" s="52">
        <v>-2353184645139</v>
      </c>
      <c r="M27" s="52">
        <v>3339525560849</v>
      </c>
    </row>
    <row r="28" spans="1:13" ht="23.1" customHeight="1">
      <c r="A28" s="55" t="s">
        <v>145</v>
      </c>
      <c r="B28" s="33">
        <v>0</v>
      </c>
      <c r="C28" s="33">
        <v>-256947350</v>
      </c>
      <c r="D28" s="33">
        <v>4156559041</v>
      </c>
      <c r="E28" s="33">
        <f t="shared" si="0"/>
        <v>3899611691</v>
      </c>
      <c r="F28" s="80">
        <f>(Table8[[#This Row],[PeriodAmountSum]]/Table8[[#This Row],[Column3]])*100</f>
        <v>0.11677142815486073</v>
      </c>
      <c r="G28" s="33">
        <v>0</v>
      </c>
      <c r="H28" s="33">
        <v>-256947350</v>
      </c>
      <c r="I28" s="33">
        <v>14451931463</v>
      </c>
      <c r="J28" s="33">
        <f>Table8[[#This Row],[CurrentTotalCostProfitLoss]]+Table8[[#This Row],[CurrentChange]]+Table8[[#This Row],[CurrentPureDividendPayment]]</f>
        <v>14194984113</v>
      </c>
      <c r="K28" s="83">
        <f>(Table8[[#This Row],[CurrentAmountSum]]/Table8[[#This Row],[Column2]])*100</f>
        <v>-0.60322440664920784</v>
      </c>
      <c r="L28" s="52">
        <v>-2353184645139</v>
      </c>
      <c r="M28" s="52">
        <v>3339525560849</v>
      </c>
    </row>
    <row r="29" spans="1:13" ht="23.1" customHeight="1">
      <c r="A29" s="55" t="s">
        <v>146</v>
      </c>
      <c r="B29" s="33">
        <v>0</v>
      </c>
      <c r="C29" s="33">
        <v>136029371</v>
      </c>
      <c r="D29" s="33">
        <v>5996570178</v>
      </c>
      <c r="E29" s="33">
        <f t="shared" si="0"/>
        <v>6132599549</v>
      </c>
      <c r="F29" s="80">
        <f>(Table8[[#This Row],[PeriodAmountSum]]/Table8[[#This Row],[Column3]])*100</f>
        <v>0.18363685012313316</v>
      </c>
      <c r="G29" s="33">
        <v>0</v>
      </c>
      <c r="H29" s="33">
        <v>0</v>
      </c>
      <c r="I29" s="33">
        <v>15813299389</v>
      </c>
      <c r="J29" s="33">
        <f>Table8[[#This Row],[CurrentTotalCostProfitLoss]]+Table8[[#This Row],[CurrentChange]]+Table8[[#This Row],[CurrentPureDividendPayment]]</f>
        <v>15813299389</v>
      </c>
      <c r="K29" s="83">
        <f>(Table8[[#This Row],[CurrentAmountSum]]/Table8[[#This Row],[Column2]])*100</f>
        <v>-0.67199568982679325</v>
      </c>
      <c r="L29" s="52">
        <v>-2353184645139</v>
      </c>
      <c r="M29" s="52">
        <v>3339525560849</v>
      </c>
    </row>
    <row r="30" spans="1:13" ht="23.1" customHeight="1">
      <c r="A30" s="55" t="s">
        <v>147</v>
      </c>
      <c r="B30" s="33">
        <v>0</v>
      </c>
      <c r="C30" s="33">
        <v>8844713026</v>
      </c>
      <c r="D30" s="33">
        <v>5769289618</v>
      </c>
      <c r="E30" s="33">
        <f t="shared" si="0"/>
        <v>14614002644</v>
      </c>
      <c r="F30" s="80">
        <f>(Table8[[#This Row],[PeriodAmountSum]]/Table8[[#This Row],[Column3]])*100</f>
        <v>0.43760715040865611</v>
      </c>
      <c r="G30" s="33">
        <v>0</v>
      </c>
      <c r="H30" s="33">
        <v>1373951486</v>
      </c>
      <c r="I30" s="33">
        <v>10548074329</v>
      </c>
      <c r="J30" s="33">
        <f>Table8[[#This Row],[CurrentTotalCostProfitLoss]]+Table8[[#This Row],[CurrentChange]]+Table8[[#This Row],[CurrentPureDividendPayment]]</f>
        <v>11922025815</v>
      </c>
      <c r="K30" s="83">
        <f>(Table8[[#This Row],[CurrentAmountSum]]/Table8[[#This Row],[Column2]])*100</f>
        <v>-0.50663367363149603</v>
      </c>
      <c r="L30" s="52">
        <v>-2353184645139</v>
      </c>
      <c r="M30" s="52">
        <v>3339525560849</v>
      </c>
    </row>
    <row r="31" spans="1:13" ht="23.1" customHeight="1">
      <c r="A31" s="55" t="s">
        <v>148</v>
      </c>
      <c r="B31" s="33">
        <v>0</v>
      </c>
      <c r="C31" s="33">
        <v>1742292990</v>
      </c>
      <c r="D31" s="33">
        <v>-542809192</v>
      </c>
      <c r="E31" s="33">
        <f t="shared" si="0"/>
        <v>1199483798</v>
      </c>
      <c r="F31" s="80">
        <f>(Table8[[#This Row],[PeriodAmountSum]]/Table8[[#This Row],[Column3]])*100</f>
        <v>3.5917790600622258E-2</v>
      </c>
      <c r="G31" s="33">
        <v>0</v>
      </c>
      <c r="H31" s="33">
        <v>56989550</v>
      </c>
      <c r="I31" s="33">
        <v>-2943377750</v>
      </c>
      <c r="J31" s="33">
        <f>Table8[[#This Row],[CurrentTotalCostProfitLoss]]+Table8[[#This Row],[CurrentChange]]+Table8[[#This Row],[CurrentPureDividendPayment]]</f>
        <v>-2886388200</v>
      </c>
      <c r="K31" s="83">
        <f>(Table8[[#This Row],[CurrentAmountSum]]/Table8[[#This Row],[Column2]])*100</f>
        <v>0.12265880648007986</v>
      </c>
      <c r="L31" s="52">
        <v>-2353184645139</v>
      </c>
      <c r="M31" s="52">
        <v>3339525560849</v>
      </c>
    </row>
    <row r="32" spans="1:13" ht="23.1" customHeight="1">
      <c r="A32" s="55" t="s">
        <v>149</v>
      </c>
      <c r="B32" s="33">
        <v>0</v>
      </c>
      <c r="C32" s="33">
        <v>1257883681508</v>
      </c>
      <c r="D32" s="33">
        <v>-124490822746</v>
      </c>
      <c r="E32" s="33">
        <f t="shared" si="0"/>
        <v>1133392858762</v>
      </c>
      <c r="F32" s="80">
        <f>(Table8[[#This Row],[PeriodAmountSum]]/Table8[[#This Row],[Column3]])*100</f>
        <v>33.938738845102904</v>
      </c>
      <c r="G32" s="33">
        <f>'درآمد سود سهام'!J19</f>
        <v>21627052650</v>
      </c>
      <c r="H32" s="33">
        <v>-1411290068121</v>
      </c>
      <c r="I32" s="33">
        <f>'درآمد ناشی ازفروش'!K41</f>
        <v>494941741567</v>
      </c>
      <c r="J32" s="33">
        <f>Table8[[#This Row],[CurrentTotalCostProfitLoss]]+Table8[[#This Row],[CurrentChange]]+Table8[[#This Row],[CurrentPureDividendPayment]]</f>
        <v>-894721273904</v>
      </c>
      <c r="K32" s="83">
        <f>(Table8[[#This Row],[CurrentAmountSum]]/Table8[[#This Row],[Column2]])*100</f>
        <v>38.021719874478862</v>
      </c>
      <c r="L32" s="52">
        <v>-2353184645139</v>
      </c>
      <c r="M32" s="52">
        <v>3339525560849</v>
      </c>
    </row>
    <row r="33" spans="1:13" ht="23.1" customHeight="1">
      <c r="A33" s="55" t="s">
        <v>150</v>
      </c>
      <c r="B33" s="33">
        <v>0</v>
      </c>
      <c r="C33" s="33">
        <v>67253906200</v>
      </c>
      <c r="D33" s="33">
        <v>-30686141372</v>
      </c>
      <c r="E33" s="33">
        <f t="shared" si="0"/>
        <v>36567764828</v>
      </c>
      <c r="F33" s="80">
        <f>(Table8[[#This Row],[PeriodAmountSum]]/Table8[[#This Row],[Column3]])*100</f>
        <v>1.0949988003296929</v>
      </c>
      <c r="G33" s="33">
        <f>'درآمد سود سهام'!J14</f>
        <v>890819970</v>
      </c>
      <c r="H33" s="33">
        <v>-65968583538</v>
      </c>
      <c r="I33" s="33">
        <f>'درآمد ناشی ازفروش'!K61</f>
        <v>-52128627783</v>
      </c>
      <c r="J33" s="33">
        <f>Table8[[#This Row],[CurrentTotalCostProfitLoss]]+Table8[[#This Row],[CurrentChange]]+Table8[[#This Row],[CurrentPureDividendPayment]]</f>
        <v>-117206391351</v>
      </c>
      <c r="K33" s="83">
        <f>(Table8[[#This Row],[CurrentAmountSum]]/Table8[[#This Row],[Column2]])*100</f>
        <v>4.9807562527281721</v>
      </c>
      <c r="L33" s="52">
        <v>-2353184645139</v>
      </c>
      <c r="M33" s="52">
        <v>3339525560849</v>
      </c>
    </row>
    <row r="34" spans="1:13" ht="23.1" customHeight="1">
      <c r="A34" s="55" t="s">
        <v>151</v>
      </c>
      <c r="B34" s="33">
        <v>0</v>
      </c>
      <c r="C34" s="33">
        <v>539519165409</v>
      </c>
      <c r="D34" s="33">
        <v>1153872318</v>
      </c>
      <c r="E34" s="33">
        <f t="shared" si="0"/>
        <v>540673037727</v>
      </c>
      <c r="F34" s="80">
        <f>(Table8[[#This Row],[PeriodAmountSum]]/Table8[[#This Row],[Column3]])*100</f>
        <v>16.190115268635523</v>
      </c>
      <c r="G34" s="33">
        <v>3042351450</v>
      </c>
      <c r="H34" s="33">
        <v>-82760413969</v>
      </c>
      <c r="I34" s="33">
        <f>'درآمد ناشی ازفروش'!K40</f>
        <v>98106444469</v>
      </c>
      <c r="J34" s="33">
        <f>Table8[[#This Row],[CurrentTotalCostProfitLoss]]+Table8[[#This Row],[CurrentChange]]+Table8[[#This Row],[CurrentPureDividendPayment]]</f>
        <v>18388381950</v>
      </c>
      <c r="K34" s="83">
        <f>(Table8[[#This Row],[CurrentAmountSum]]/Table8[[#This Row],[Column2]])*100</f>
        <v>-0.78142537552185232</v>
      </c>
      <c r="L34" s="52">
        <v>-2353184645139</v>
      </c>
      <c r="M34" s="52">
        <v>3339525560849</v>
      </c>
    </row>
    <row r="35" spans="1:13" ht="23.1" customHeight="1">
      <c r="A35" s="55" t="s">
        <v>152</v>
      </c>
      <c r="B35" s="33">
        <v>0</v>
      </c>
      <c r="C35" s="33">
        <v>217876241163</v>
      </c>
      <c r="D35" s="33">
        <v>-21930750396</v>
      </c>
      <c r="E35" s="33">
        <f t="shared" si="0"/>
        <v>195945490767</v>
      </c>
      <c r="F35" s="80">
        <f>(Table8[[#This Row],[PeriodAmountSum]]/Table8[[#This Row],[Column3]])*100</f>
        <v>5.8674649196931199</v>
      </c>
      <c r="G35" s="33">
        <v>0</v>
      </c>
      <c r="H35" s="33">
        <v>-159535291234</v>
      </c>
      <c r="I35" s="33">
        <v>-9230820508</v>
      </c>
      <c r="J35" s="33">
        <f>Table8[[#This Row],[CurrentTotalCostProfitLoss]]+Table8[[#This Row],[CurrentChange]]+Table8[[#This Row],[CurrentPureDividendPayment]]</f>
        <v>-168766111742</v>
      </c>
      <c r="K35" s="83">
        <f>(Table8[[#This Row],[CurrentAmountSum]]/Table8[[#This Row],[Column2]])*100</f>
        <v>7.1718176510552221</v>
      </c>
      <c r="L35" s="52">
        <v>-2353184645139</v>
      </c>
      <c r="M35" s="52">
        <v>3339525560849</v>
      </c>
    </row>
    <row r="36" spans="1:13" ht="23.1" customHeight="1">
      <c r="A36" s="55" t="s">
        <v>153</v>
      </c>
      <c r="B36" s="33">
        <v>0</v>
      </c>
      <c r="C36" s="33">
        <v>-1645263287</v>
      </c>
      <c r="D36" s="33">
        <v>6545531659</v>
      </c>
      <c r="E36" s="33">
        <f t="shared" si="0"/>
        <v>4900268372</v>
      </c>
      <c r="F36" s="80">
        <f>(Table8[[#This Row],[PeriodAmountSum]]/Table8[[#This Row],[Column3]])*100</f>
        <v>0.14673546534419146</v>
      </c>
      <c r="G36" s="33">
        <v>0</v>
      </c>
      <c r="H36" s="33">
        <v>9316402292</v>
      </c>
      <c r="I36" s="33">
        <v>17187919736</v>
      </c>
      <c r="J36" s="33">
        <f>Table8[[#This Row],[CurrentTotalCostProfitLoss]]+Table8[[#This Row],[CurrentChange]]+Table8[[#This Row],[CurrentPureDividendPayment]]</f>
        <v>26504322028</v>
      </c>
      <c r="K36" s="83">
        <f>(Table8[[#This Row],[CurrentAmountSum]]/Table8[[#This Row],[Column2]])*100</f>
        <v>-1.1263171414427795</v>
      </c>
      <c r="L36" s="52">
        <v>-2353184645139</v>
      </c>
      <c r="M36" s="52">
        <v>3339525560849</v>
      </c>
    </row>
    <row r="37" spans="1:13" ht="23.1" customHeight="1">
      <c r="A37" s="55" t="s">
        <v>154</v>
      </c>
      <c r="B37" s="33">
        <v>0</v>
      </c>
      <c r="C37" s="33">
        <v>8118209664</v>
      </c>
      <c r="D37" s="33">
        <v>1958534076</v>
      </c>
      <c r="E37" s="33">
        <f t="shared" si="0"/>
        <v>10076743740</v>
      </c>
      <c r="F37" s="80">
        <f>(Table8[[#This Row],[PeriodAmountSum]]/Table8[[#This Row],[Column3]])*100</f>
        <v>0.30174177608145669</v>
      </c>
      <c r="G37" s="33">
        <v>0</v>
      </c>
      <c r="H37" s="33">
        <v>-42048358</v>
      </c>
      <c r="I37" s="33">
        <v>10012880724</v>
      </c>
      <c r="J37" s="33">
        <f>Table8[[#This Row],[CurrentTotalCostProfitLoss]]+Table8[[#This Row],[CurrentChange]]+Table8[[#This Row],[CurrentPureDividendPayment]]</f>
        <v>9970832366</v>
      </c>
      <c r="K37" s="83">
        <f>(Table8[[#This Row],[CurrentAmountSum]]/Table8[[#This Row],[Column2]])*100</f>
        <v>-0.42371653183258956</v>
      </c>
      <c r="L37" s="52">
        <v>-2353184645139</v>
      </c>
      <c r="M37" s="52">
        <v>3339525560849</v>
      </c>
    </row>
    <row r="38" spans="1:13" ht="23.1" customHeight="1">
      <c r="A38" s="55" t="s">
        <v>155</v>
      </c>
      <c r="B38" s="33">
        <v>0</v>
      </c>
      <c r="C38" s="33">
        <v>-14679802238</v>
      </c>
      <c r="D38" s="33">
        <v>155815234</v>
      </c>
      <c r="E38" s="33">
        <f t="shared" si="0"/>
        <v>-14523987004</v>
      </c>
      <c r="F38" s="80">
        <f>(Table8[[#This Row],[PeriodAmountSum]]/Table8[[#This Row],[Column3]])*100</f>
        <v>-0.43491168848270773</v>
      </c>
      <c r="G38" s="33">
        <v>0</v>
      </c>
      <c r="H38" s="33">
        <v>-6603482570</v>
      </c>
      <c r="I38" s="33">
        <v>9384765178</v>
      </c>
      <c r="J38" s="33">
        <f>Table8[[#This Row],[CurrentTotalCostProfitLoss]]+Table8[[#This Row],[CurrentChange]]+Table8[[#This Row],[CurrentPureDividendPayment]]</f>
        <v>2781282608</v>
      </c>
      <c r="K38" s="83">
        <f>(Table8[[#This Row],[CurrentAmountSum]]/Table8[[#This Row],[Column2]])*100</f>
        <v>-0.11819228099016058</v>
      </c>
      <c r="L38" s="52">
        <v>-2353184645139</v>
      </c>
      <c r="M38" s="52">
        <v>3339525560849</v>
      </c>
    </row>
    <row r="39" spans="1:13" ht="23.1" customHeight="1">
      <c r="A39" s="55" t="s">
        <v>156</v>
      </c>
      <c r="B39" s="33">
        <v>0</v>
      </c>
      <c r="C39" s="33">
        <v>-10820074230</v>
      </c>
      <c r="D39" s="33">
        <v>172330273</v>
      </c>
      <c r="E39" s="33">
        <f t="shared" si="0"/>
        <v>-10647743957</v>
      </c>
      <c r="F39" s="80">
        <f>(Table8[[#This Row],[PeriodAmountSum]]/Table8[[#This Row],[Column3]])*100</f>
        <v>-0.31884001972702519</v>
      </c>
      <c r="G39" s="33">
        <v>0</v>
      </c>
      <c r="H39" s="33">
        <v>-20158619329</v>
      </c>
      <c r="I39" s="33">
        <v>4511259813</v>
      </c>
      <c r="J39" s="33">
        <f>Table8[[#This Row],[CurrentTotalCostProfitLoss]]+Table8[[#This Row],[CurrentChange]]+Table8[[#This Row],[CurrentPureDividendPayment]]</f>
        <v>-15647359516</v>
      </c>
      <c r="K39" s="83">
        <f>(Table8[[#This Row],[CurrentAmountSum]]/Table8[[#This Row],[Column2]])*100</f>
        <v>0.66494397489474211</v>
      </c>
      <c r="L39" s="52">
        <v>-2353184645139</v>
      </c>
      <c r="M39" s="52">
        <v>3339525560849</v>
      </c>
    </row>
    <row r="40" spans="1:13" ht="23.1" customHeight="1">
      <c r="A40" s="55" t="s">
        <v>157</v>
      </c>
      <c r="B40" s="33">
        <v>0</v>
      </c>
      <c r="C40" s="33">
        <v>-22635801788</v>
      </c>
      <c r="D40" s="33">
        <v>-599636554</v>
      </c>
      <c r="E40" s="33">
        <f t="shared" si="0"/>
        <v>-23235438342</v>
      </c>
      <c r="F40" s="80">
        <f>(Table8[[#This Row],[PeriodAmountSum]]/Table8[[#This Row],[Column3]])*100</f>
        <v>-0.6957706392309484</v>
      </c>
      <c r="G40" s="33">
        <v>0</v>
      </c>
      <c r="H40" s="33">
        <v>-35492169382</v>
      </c>
      <c r="I40" s="33">
        <v>14045237440</v>
      </c>
      <c r="J40" s="33">
        <f>Table8[[#This Row],[CurrentTotalCostProfitLoss]]+Table8[[#This Row],[CurrentChange]]+Table8[[#This Row],[CurrentPureDividendPayment]]</f>
        <v>-21446931942</v>
      </c>
      <c r="K40" s="83">
        <f>(Table8[[#This Row],[CurrentAmountSum]]/Table8[[#This Row],[Column2]])*100</f>
        <v>0.91140030113247461</v>
      </c>
      <c r="L40" s="52">
        <v>-2353184645139</v>
      </c>
      <c r="M40" s="52">
        <v>3339525560849</v>
      </c>
    </row>
    <row r="41" spans="1:13" ht="23.1" customHeight="1">
      <c r="A41" s="55" t="s">
        <v>158</v>
      </c>
      <c r="B41" s="33">
        <v>0</v>
      </c>
      <c r="C41" s="33">
        <v>3394192156</v>
      </c>
      <c r="D41" s="33">
        <v>3137617663</v>
      </c>
      <c r="E41" s="33">
        <f t="shared" si="0"/>
        <v>6531809819</v>
      </c>
      <c r="F41" s="80">
        <f>(Table8[[#This Row],[PeriodAmountSum]]/Table8[[#This Row],[Column3]])*100</f>
        <v>0.19559095146855029</v>
      </c>
      <c r="G41" s="33">
        <v>0</v>
      </c>
      <c r="H41" s="33">
        <v>1065632742</v>
      </c>
      <c r="I41" s="33">
        <v>8258405768</v>
      </c>
      <c r="J41" s="33">
        <f>Table8[[#This Row],[CurrentTotalCostProfitLoss]]+Table8[[#This Row],[CurrentChange]]+Table8[[#This Row],[CurrentPureDividendPayment]]</f>
        <v>9324038510</v>
      </c>
      <c r="K41" s="83">
        <f>(Table8[[#This Row],[CurrentAmountSum]]/Table8[[#This Row],[Column2]])*100</f>
        <v>-0.3962306370331275</v>
      </c>
      <c r="L41" s="52">
        <v>-2353184645139</v>
      </c>
      <c r="M41" s="52">
        <v>3339525560849</v>
      </c>
    </row>
    <row r="42" spans="1:13" ht="23.1" customHeight="1">
      <c r="A42" s="55" t="s">
        <v>159</v>
      </c>
      <c r="B42" s="33">
        <v>0</v>
      </c>
      <c r="C42" s="33">
        <v>204232660949</v>
      </c>
      <c r="D42" s="33">
        <v>32615513631</v>
      </c>
      <c r="E42" s="33">
        <f t="shared" si="0"/>
        <v>236848174580</v>
      </c>
      <c r="F42" s="80">
        <f>(Table8[[#This Row],[PeriodAmountSum]]/Table8[[#This Row],[Column3]])*100</f>
        <v>7.0922701522843452</v>
      </c>
      <c r="G42" s="33">
        <v>0</v>
      </c>
      <c r="H42" s="33">
        <v>204232660949</v>
      </c>
      <c r="I42" s="33">
        <v>32615513631</v>
      </c>
      <c r="J42" s="33">
        <f>Table8[[#This Row],[CurrentTotalCostProfitLoss]]+Table8[[#This Row],[CurrentChange]]+Table8[[#This Row],[CurrentPureDividendPayment]]</f>
        <v>236848174580</v>
      </c>
      <c r="K42" s="83">
        <f>(Table8[[#This Row],[CurrentAmountSum]]/Table8[[#This Row],[Column2]])*100</f>
        <v>-10.065005951371472</v>
      </c>
      <c r="L42" s="52">
        <v>-2353184645139</v>
      </c>
      <c r="M42" s="52">
        <v>3339525560849</v>
      </c>
    </row>
    <row r="43" spans="1:13" ht="23.1" customHeight="1">
      <c r="A43" s="55" t="s">
        <v>160</v>
      </c>
      <c r="B43" s="33">
        <v>0</v>
      </c>
      <c r="C43" s="33">
        <v>18807903180</v>
      </c>
      <c r="D43" s="33">
        <v>5764735217</v>
      </c>
      <c r="E43" s="33">
        <f t="shared" si="0"/>
        <v>24572638397</v>
      </c>
      <c r="F43" s="80">
        <f>(Table8[[#This Row],[PeriodAmountSum]]/Table8[[#This Row],[Column3]])*100</f>
        <v>0.73581225683905094</v>
      </c>
      <c r="G43" s="33">
        <v>247500000</v>
      </c>
      <c r="H43" s="33">
        <v>3292598880</v>
      </c>
      <c r="I43" s="33">
        <f>'درآمد ناشی ازفروش'!K81</f>
        <v>-1834974424</v>
      </c>
      <c r="J43" s="33">
        <f>Table8[[#This Row],[CurrentTotalCostProfitLoss]]+Table8[[#This Row],[CurrentChange]]+Table8[[#This Row],[CurrentPureDividendPayment]]</f>
        <v>1705124456</v>
      </c>
      <c r="K43" s="83">
        <f>(Table8[[#This Row],[CurrentAmountSum]]/Table8[[#This Row],[Column2]])*100</f>
        <v>-7.2460291610447772E-2</v>
      </c>
      <c r="L43" s="52">
        <v>-2353184645139</v>
      </c>
      <c r="M43" s="52">
        <v>3339525560849</v>
      </c>
    </row>
    <row r="44" spans="1:13" ht="23.1" customHeight="1">
      <c r="A44" s="55" t="s">
        <v>161</v>
      </c>
      <c r="B44" s="33">
        <v>0</v>
      </c>
      <c r="C44" s="33">
        <v>7248379555</v>
      </c>
      <c r="D44" s="33">
        <v>10749474241</v>
      </c>
      <c r="E44" s="33">
        <f t="shared" ref="E44:E75" si="1">D44+C44+B44</f>
        <v>17997853796</v>
      </c>
      <c r="F44" s="80">
        <f>(Table8[[#This Row],[PeriodAmountSum]]/Table8[[#This Row],[Column3]])*100</f>
        <v>0.53893445245630778</v>
      </c>
      <c r="G44" s="33">
        <v>0</v>
      </c>
      <c r="H44" s="33">
        <v>-394298291</v>
      </c>
      <c r="I44" s="33">
        <f>'درآمد ناشی ازفروش'!K19</f>
        <v>34165044948</v>
      </c>
      <c r="J44" s="33">
        <f>Table8[[#This Row],[CurrentTotalCostProfitLoss]]+Table8[[#This Row],[CurrentChange]]+Table8[[#This Row],[CurrentPureDividendPayment]]</f>
        <v>33770746657</v>
      </c>
      <c r="K44" s="83">
        <f>(Table8[[#This Row],[CurrentAmountSum]]/Table8[[#This Row],[Column2]])*100</f>
        <v>-1.4351082362686929</v>
      </c>
      <c r="L44" s="52">
        <v>-2353184645139</v>
      </c>
      <c r="M44" s="52">
        <v>3339525560849</v>
      </c>
    </row>
    <row r="45" spans="1:13" ht="23.1" customHeight="1">
      <c r="A45" s="55" t="s">
        <v>162</v>
      </c>
      <c r="B45" s="33">
        <v>0</v>
      </c>
      <c r="C45" s="33">
        <v>68887868889</v>
      </c>
      <c r="D45" s="33">
        <v>-25802270151</v>
      </c>
      <c r="E45" s="33">
        <f t="shared" si="1"/>
        <v>43085598738</v>
      </c>
      <c r="F45" s="80">
        <f>(Table8[[#This Row],[PeriodAmountSum]]/Table8[[#This Row],[Column3]])*100</f>
        <v>1.2901712519621034</v>
      </c>
      <c r="G45" s="33">
        <v>0</v>
      </c>
      <c r="H45" s="33">
        <v>5552838254</v>
      </c>
      <c r="I45" s="33">
        <v>14130590471</v>
      </c>
      <c r="J45" s="33">
        <f>Table8[[#This Row],[CurrentTotalCostProfitLoss]]+Table8[[#This Row],[CurrentChange]]+Table8[[#This Row],[CurrentPureDividendPayment]]</f>
        <v>19683428725</v>
      </c>
      <c r="K45" s="83">
        <f>(Table8[[#This Row],[CurrentAmountSum]]/Table8[[#This Row],[Column2]])*100</f>
        <v>-0.83645916888248784</v>
      </c>
      <c r="L45" s="52">
        <v>-2353184645139</v>
      </c>
      <c r="M45" s="52">
        <v>3339525560849</v>
      </c>
    </row>
    <row r="46" spans="1:13" ht="23.1" customHeight="1">
      <c r="A46" s="55" t="s">
        <v>163</v>
      </c>
      <c r="B46" s="33">
        <v>0</v>
      </c>
      <c r="C46" s="33">
        <v>48127373767</v>
      </c>
      <c r="D46" s="33">
        <v>-6064511383</v>
      </c>
      <c r="E46" s="33">
        <f t="shared" si="1"/>
        <v>42062862384</v>
      </c>
      <c r="F46" s="80">
        <f>(Table8[[#This Row],[PeriodAmountSum]]/Table8[[#This Row],[Column3]])*100</f>
        <v>1.2595460528023763</v>
      </c>
      <c r="G46" s="33">
        <v>0</v>
      </c>
      <c r="H46" s="33">
        <v>15415497061</v>
      </c>
      <c r="I46" s="33">
        <v>-3141609456</v>
      </c>
      <c r="J46" s="33">
        <f>Table8[[#This Row],[CurrentTotalCostProfitLoss]]+Table8[[#This Row],[CurrentChange]]+Table8[[#This Row],[CurrentPureDividendPayment]]</f>
        <v>12273887605</v>
      </c>
      <c r="K46" s="83">
        <f>(Table8[[#This Row],[CurrentAmountSum]]/Table8[[#This Row],[Column2]])*100</f>
        <v>-0.52158625250059776</v>
      </c>
      <c r="L46" s="52">
        <v>-2353184645139</v>
      </c>
      <c r="M46" s="52">
        <v>3339525560849</v>
      </c>
    </row>
    <row r="47" spans="1:13" ht="23.1" customHeight="1">
      <c r="A47" s="55" t="s">
        <v>164</v>
      </c>
      <c r="B47" s="33">
        <v>0</v>
      </c>
      <c r="C47" s="33">
        <v>18249299280</v>
      </c>
      <c r="D47" s="33">
        <v>-8559546549</v>
      </c>
      <c r="E47" s="33">
        <f t="shared" si="1"/>
        <v>9689752731</v>
      </c>
      <c r="F47" s="80">
        <f>(Table8[[#This Row],[PeriodAmountSum]]/Table8[[#This Row],[Column3]])*100</f>
        <v>0.29015357284873117</v>
      </c>
      <c r="G47" s="33">
        <v>0</v>
      </c>
      <c r="H47" s="33">
        <v>-10897963089</v>
      </c>
      <c r="I47" s="33">
        <v>-6279635467</v>
      </c>
      <c r="J47" s="33">
        <f>Table8[[#This Row],[CurrentTotalCostProfitLoss]]+Table8[[#This Row],[CurrentChange]]+Table8[[#This Row],[CurrentPureDividendPayment]]</f>
        <v>-17177598556</v>
      </c>
      <c r="K47" s="83">
        <f>(Table8[[#This Row],[CurrentAmountSum]]/Table8[[#This Row],[Column2]])*100</f>
        <v>0.72997240533096119</v>
      </c>
      <c r="L47" s="52">
        <v>-2353184645139</v>
      </c>
      <c r="M47" s="52">
        <v>3339525560849</v>
      </c>
    </row>
    <row r="48" spans="1:13" ht="23.1" customHeight="1">
      <c r="A48" s="55" t="s">
        <v>165</v>
      </c>
      <c r="B48" s="33">
        <v>0</v>
      </c>
      <c r="C48" s="33">
        <v>6662786614</v>
      </c>
      <c r="D48" s="33">
        <v>5006031752</v>
      </c>
      <c r="E48" s="33">
        <f t="shared" si="1"/>
        <v>11668818366</v>
      </c>
      <c r="F48" s="80">
        <f>(Table8[[#This Row],[PeriodAmountSum]]/Table8[[#This Row],[Column3]])*100</f>
        <v>0.34941545298528764</v>
      </c>
      <c r="G48" s="33">
        <v>0</v>
      </c>
      <c r="H48" s="33">
        <v>6662786614</v>
      </c>
      <c r="I48" s="33">
        <v>14085858980</v>
      </c>
      <c r="J48" s="33">
        <f>Table8[[#This Row],[CurrentTotalCostProfitLoss]]+Table8[[#This Row],[CurrentChange]]+Table8[[#This Row],[CurrentPureDividendPayment]]</f>
        <v>20748645594</v>
      </c>
      <c r="K48" s="83">
        <f>(Table8[[#This Row],[CurrentAmountSum]]/Table8[[#This Row],[Column2]])*100</f>
        <v>-0.8817262018456864</v>
      </c>
      <c r="L48" s="52">
        <v>-2353184645139</v>
      </c>
      <c r="M48" s="52">
        <v>3339525560849</v>
      </c>
    </row>
    <row r="49" spans="1:13" ht="23.1" customHeight="1">
      <c r="A49" s="55" t="s">
        <v>166</v>
      </c>
      <c r="B49" s="33">
        <v>0</v>
      </c>
      <c r="C49" s="33">
        <v>-285656156</v>
      </c>
      <c r="D49" s="33">
        <v>2680099790</v>
      </c>
      <c r="E49" s="33">
        <f t="shared" si="1"/>
        <v>2394443634</v>
      </c>
      <c r="F49" s="80">
        <f>(Table8[[#This Row],[PeriodAmountSum]]/Table8[[#This Row],[Column3]])*100</f>
        <v>7.1700113994374273E-2</v>
      </c>
      <c r="G49" s="33">
        <v>0</v>
      </c>
      <c r="H49" s="33">
        <v>1310175121</v>
      </c>
      <c r="I49" s="33">
        <v>34396283768</v>
      </c>
      <c r="J49" s="33">
        <f>Table8[[#This Row],[CurrentTotalCostProfitLoss]]+Table8[[#This Row],[CurrentChange]]+Table8[[#This Row],[CurrentPureDividendPayment]]</f>
        <v>35706458889</v>
      </c>
      <c r="K49" s="83">
        <f>(Table8[[#This Row],[CurrentAmountSum]]/Table8[[#This Row],[Column2]])*100</f>
        <v>-1.5173674944190731</v>
      </c>
      <c r="L49" s="52">
        <v>-2353184645139</v>
      </c>
      <c r="M49" s="52">
        <v>3339525560849</v>
      </c>
    </row>
    <row r="50" spans="1:13" ht="23.1" customHeight="1">
      <c r="A50" s="55" t="s">
        <v>167</v>
      </c>
      <c r="B50" s="33">
        <v>0</v>
      </c>
      <c r="C50" s="33">
        <v>15515957689</v>
      </c>
      <c r="D50" s="33">
        <v>4124472857</v>
      </c>
      <c r="E50" s="33">
        <f t="shared" si="1"/>
        <v>19640430546</v>
      </c>
      <c r="F50" s="80">
        <f>(Table8[[#This Row],[PeriodAmountSum]]/Table8[[#This Row],[Column3]])*100</f>
        <v>0.58812038381304854</v>
      </c>
      <c r="G50" s="33">
        <v>0</v>
      </c>
      <c r="H50" s="33">
        <v>4056375346</v>
      </c>
      <c r="I50" s="33">
        <v>7762564914</v>
      </c>
      <c r="J50" s="33">
        <f>Table8[[#This Row],[CurrentTotalCostProfitLoss]]+Table8[[#This Row],[CurrentChange]]+Table8[[#This Row],[CurrentPureDividendPayment]]</f>
        <v>11818940260</v>
      </c>
      <c r="K50" s="83">
        <f>(Table8[[#This Row],[CurrentAmountSum]]/Table8[[#This Row],[Column2]])*100</f>
        <v>-0.50225299083157449</v>
      </c>
      <c r="L50" s="52">
        <v>-2353184645139</v>
      </c>
      <c r="M50" s="52">
        <v>3339525560849</v>
      </c>
    </row>
    <row r="51" spans="1:13" ht="23.1" customHeight="1">
      <c r="A51" s="55" t="s">
        <v>168</v>
      </c>
      <c r="B51" s="33">
        <v>0</v>
      </c>
      <c r="C51" s="33">
        <v>2997589088</v>
      </c>
      <c r="D51" s="33">
        <v>-7283752351</v>
      </c>
      <c r="E51" s="33">
        <f t="shared" si="1"/>
        <v>-4286163263</v>
      </c>
      <c r="F51" s="80">
        <f>(Table8[[#This Row],[PeriodAmountSum]]/Table8[[#This Row],[Column3]])*100</f>
        <v>-0.1283464727220216</v>
      </c>
      <c r="G51" s="33">
        <v>0</v>
      </c>
      <c r="H51" s="33">
        <v>-882203232</v>
      </c>
      <c r="I51" s="33">
        <v>3133489501</v>
      </c>
      <c r="J51" s="33">
        <f>Table8[[#This Row],[CurrentTotalCostProfitLoss]]+Table8[[#This Row],[CurrentChange]]+Table8[[#This Row],[CurrentPureDividendPayment]]</f>
        <v>2251286269</v>
      </c>
      <c r="K51" s="83">
        <f>(Table8[[#This Row],[CurrentAmountSum]]/Table8[[#This Row],[Column2]])*100</f>
        <v>-9.5669767081410603E-2</v>
      </c>
      <c r="L51" s="52">
        <v>-2353184645139</v>
      </c>
      <c r="M51" s="52">
        <v>3339525560849</v>
      </c>
    </row>
    <row r="52" spans="1:13" ht="23.1" customHeight="1">
      <c r="A52" s="55" t="s">
        <v>169</v>
      </c>
      <c r="B52" s="33">
        <v>0</v>
      </c>
      <c r="C52" s="33">
        <v>-22005200432</v>
      </c>
      <c r="D52" s="33">
        <v>-10824416242</v>
      </c>
      <c r="E52" s="33">
        <f t="shared" si="1"/>
        <v>-32829616674</v>
      </c>
      <c r="F52" s="80">
        <f>(Table8[[#This Row],[PeriodAmountSum]]/Table8[[#This Row],[Column3]])*100</f>
        <v>-0.98306229659921518</v>
      </c>
      <c r="G52" s="33">
        <v>0</v>
      </c>
      <c r="H52" s="33">
        <v>-34527280446</v>
      </c>
      <c r="I52" s="33">
        <v>11534028013</v>
      </c>
      <c r="J52" s="33">
        <f>Table8[[#This Row],[CurrentTotalCostProfitLoss]]+Table8[[#This Row],[CurrentChange]]+Table8[[#This Row],[CurrentPureDividendPayment]]</f>
        <v>-22993252433</v>
      </c>
      <c r="K52" s="83">
        <f>(Table8[[#This Row],[CurrentAmountSum]]/Table8[[#This Row],[Column2]])*100</f>
        <v>0.97711212252287216</v>
      </c>
      <c r="L52" s="52">
        <v>-2353184645139</v>
      </c>
      <c r="M52" s="52">
        <v>3339525560849</v>
      </c>
    </row>
    <row r="53" spans="1:13" ht="23.1" customHeight="1">
      <c r="A53" s="55" t="s">
        <v>170</v>
      </c>
      <c r="B53" s="33">
        <f>'درآمد سود سهام'!G17</f>
        <v>155866962</v>
      </c>
      <c r="C53" s="33">
        <v>-43402852225</v>
      </c>
      <c r="D53" s="33">
        <v>-8557584288</v>
      </c>
      <c r="E53" s="33">
        <f t="shared" si="1"/>
        <v>-51804569551</v>
      </c>
      <c r="F53" s="80">
        <f>(Table8[[#This Row],[PeriodAmountSum]]/Table8[[#This Row],[Column3]])*100</f>
        <v>-1.5512553686766763</v>
      </c>
      <c r="G53" s="33">
        <v>7969997301</v>
      </c>
      <c r="H53" s="33">
        <v>-330468094606</v>
      </c>
      <c r="I53" s="33">
        <f>'درآمد ناشی ازفروش'!K37</f>
        <v>-29658119967</v>
      </c>
      <c r="J53" s="33">
        <f>Table8[[#This Row],[CurrentTotalCostProfitLoss]]+Table8[[#This Row],[CurrentChange]]+Table8[[#This Row],[CurrentPureDividendPayment]]</f>
        <v>-352156217272</v>
      </c>
      <c r="K53" s="83">
        <f>(Table8[[#This Row],[CurrentAmountSum]]/Table8[[#This Row],[Column2]])*100</f>
        <v>14.965090733506742</v>
      </c>
      <c r="L53" s="52">
        <v>-2353184645139</v>
      </c>
      <c r="M53" s="52">
        <v>3339525560849</v>
      </c>
    </row>
    <row r="54" spans="1:13" ht="23.1" customHeight="1">
      <c r="A54" s="55" t="s">
        <v>171</v>
      </c>
      <c r="B54" s="33">
        <v>0</v>
      </c>
      <c r="C54" s="33">
        <v>3798402383</v>
      </c>
      <c r="D54" s="33">
        <v>4455518207</v>
      </c>
      <c r="E54" s="33">
        <f t="shared" si="1"/>
        <v>8253920590</v>
      </c>
      <c r="F54" s="80">
        <f>(Table8[[#This Row],[PeriodAmountSum]]/Table8[[#This Row],[Column3]])*100</f>
        <v>0.24715847923923734</v>
      </c>
      <c r="G54" s="33">
        <v>0</v>
      </c>
      <c r="H54" s="33">
        <v>-1547099943</v>
      </c>
      <c r="I54" s="33">
        <v>17158443291</v>
      </c>
      <c r="J54" s="33">
        <f>Table8[[#This Row],[CurrentTotalCostProfitLoss]]+Table8[[#This Row],[CurrentChange]]+Table8[[#This Row],[CurrentPureDividendPayment]]</f>
        <v>15611343348</v>
      </c>
      <c r="K54" s="83">
        <f>(Table8[[#This Row],[CurrentAmountSum]]/Table8[[#This Row],[Column2]])*100</f>
        <v>-0.66341344612495778</v>
      </c>
      <c r="L54" s="52">
        <v>-2353184645139</v>
      </c>
      <c r="M54" s="52">
        <v>3339525560849</v>
      </c>
    </row>
    <row r="55" spans="1:13" ht="23.1" customHeight="1">
      <c r="A55" s="55" t="s">
        <v>172</v>
      </c>
      <c r="B55" s="33">
        <v>0</v>
      </c>
      <c r="C55" s="33">
        <v>-15163380567</v>
      </c>
      <c r="D55" s="33">
        <v>-83008794</v>
      </c>
      <c r="E55" s="33">
        <f t="shared" si="1"/>
        <v>-15246389361</v>
      </c>
      <c r="F55" s="80">
        <f>(Table8[[#This Row],[PeriodAmountSum]]/Table8[[#This Row],[Column3]])*100</f>
        <v>-0.45654357432508902</v>
      </c>
      <c r="G55" s="33">
        <v>0</v>
      </c>
      <c r="H55" s="33">
        <v>-16974818002</v>
      </c>
      <c r="I55" s="33">
        <v>12062054311</v>
      </c>
      <c r="J55" s="33">
        <f>Table8[[#This Row],[CurrentTotalCostProfitLoss]]+Table8[[#This Row],[CurrentChange]]+Table8[[#This Row],[CurrentPureDividendPayment]]</f>
        <v>-4912763691</v>
      </c>
      <c r="K55" s="83">
        <f>(Table8[[#This Row],[CurrentAmountSum]]/Table8[[#This Row],[Column2]])*100</f>
        <v>0.20877085447367469</v>
      </c>
      <c r="L55" s="52">
        <v>-2353184645139</v>
      </c>
      <c r="M55" s="52">
        <v>3339525560849</v>
      </c>
    </row>
    <row r="56" spans="1:13" ht="23.1" customHeight="1">
      <c r="A56" s="55" t="s">
        <v>173</v>
      </c>
      <c r="B56" s="33">
        <v>0</v>
      </c>
      <c r="C56" s="33">
        <v>-30518256800</v>
      </c>
      <c r="D56" s="33">
        <v>-11266910566</v>
      </c>
      <c r="E56" s="33">
        <f t="shared" si="1"/>
        <v>-41785167366</v>
      </c>
      <c r="F56" s="80">
        <f>(Table8[[#This Row],[PeriodAmountSum]]/Table8[[#This Row],[Column3]])*100</f>
        <v>-1.2512306495230734</v>
      </c>
      <c r="G56" s="33">
        <v>0</v>
      </c>
      <c r="H56" s="33">
        <v>-157728312769</v>
      </c>
      <c r="I56" s="33">
        <v>-13427611852</v>
      </c>
      <c r="J56" s="33">
        <f>Table8[[#This Row],[CurrentTotalCostProfitLoss]]+Table8[[#This Row],[CurrentChange]]+Table8[[#This Row],[CurrentPureDividendPayment]]</f>
        <v>-171155924621</v>
      </c>
      <c r="K56" s="83">
        <f>(Table8[[#This Row],[CurrentAmountSum]]/Table8[[#This Row],[Column2]])*100</f>
        <v>7.2733741899327242</v>
      </c>
      <c r="L56" s="52">
        <v>-2353184645139</v>
      </c>
      <c r="M56" s="52">
        <v>3339525560849</v>
      </c>
    </row>
    <row r="57" spans="1:13" ht="23.1" customHeight="1">
      <c r="A57" s="55" t="s">
        <v>174</v>
      </c>
      <c r="B57" s="33">
        <v>0</v>
      </c>
      <c r="C57" s="33">
        <v>-1884000512</v>
      </c>
      <c r="D57" s="33">
        <v>2235319516</v>
      </c>
      <c r="E57" s="33">
        <f t="shared" si="1"/>
        <v>351319004</v>
      </c>
      <c r="F57" s="80">
        <f>(Table8[[#This Row],[PeriodAmountSum]]/Table8[[#This Row],[Column3]])*100</f>
        <v>1.0520027399062187E-2</v>
      </c>
      <c r="G57" s="33">
        <v>0</v>
      </c>
      <c r="H57" s="33">
        <v>-1884000512</v>
      </c>
      <c r="I57" s="33">
        <v>8069787010</v>
      </c>
      <c r="J57" s="33">
        <f>Table8[[#This Row],[CurrentTotalCostProfitLoss]]+Table8[[#This Row],[CurrentChange]]+Table8[[#This Row],[CurrentPureDividendPayment]]</f>
        <v>6185786498</v>
      </c>
      <c r="K57" s="83">
        <f>(Table8[[#This Row],[CurrentAmountSum]]/Table8[[#This Row],[Column2]])*100</f>
        <v>-0.26286872603805439</v>
      </c>
      <c r="L57" s="52">
        <v>-2353184645139</v>
      </c>
      <c r="M57" s="52">
        <v>3339525560849</v>
      </c>
    </row>
    <row r="58" spans="1:13" ht="23.1" customHeight="1">
      <c r="A58" s="55" t="s">
        <v>175</v>
      </c>
      <c r="B58" s="33">
        <v>0</v>
      </c>
      <c r="C58" s="33">
        <v>-6295729284</v>
      </c>
      <c r="D58" s="33">
        <v>-2090440156</v>
      </c>
      <c r="E58" s="33">
        <f t="shared" si="1"/>
        <v>-8386169440</v>
      </c>
      <c r="F58" s="80">
        <f>(Table8[[#This Row],[PeriodAmountSum]]/Table8[[#This Row],[Column3]])*100</f>
        <v>-0.25111858817059041</v>
      </c>
      <c r="G58" s="33">
        <v>0</v>
      </c>
      <c r="H58" s="33">
        <v>-15311093671</v>
      </c>
      <c r="I58" s="33">
        <v>-87110502</v>
      </c>
      <c r="J58" s="33">
        <f>Table8[[#This Row],[CurrentTotalCostProfitLoss]]+Table8[[#This Row],[CurrentChange]]+Table8[[#This Row],[CurrentPureDividendPayment]]</f>
        <v>-15398204173</v>
      </c>
      <c r="K58" s="83">
        <f>(Table8[[#This Row],[CurrentAmountSum]]/Table8[[#This Row],[Column2]])*100</f>
        <v>0.65435596840257493</v>
      </c>
      <c r="L58" s="52">
        <v>-2353184645139</v>
      </c>
      <c r="M58" s="52">
        <v>3339525560849</v>
      </c>
    </row>
    <row r="59" spans="1:13" ht="23.1" customHeight="1">
      <c r="A59" s="55" t="s">
        <v>176</v>
      </c>
      <c r="B59" s="33">
        <v>0</v>
      </c>
      <c r="C59" s="33">
        <v>-104535941</v>
      </c>
      <c r="D59" s="33">
        <v>2828287595</v>
      </c>
      <c r="E59" s="33">
        <f t="shared" si="1"/>
        <v>2723751654</v>
      </c>
      <c r="F59" s="80">
        <f>(Table8[[#This Row],[PeriodAmountSum]]/Table8[[#This Row],[Column3]])*100</f>
        <v>8.156103627209689E-2</v>
      </c>
      <c r="G59" s="33">
        <v>0</v>
      </c>
      <c r="H59" s="33">
        <v>220619796</v>
      </c>
      <c r="I59" s="33">
        <v>9493573989</v>
      </c>
      <c r="J59" s="33">
        <f>Table8[[#This Row],[CurrentTotalCostProfitLoss]]+Table8[[#This Row],[CurrentChange]]+Table8[[#This Row],[CurrentPureDividendPayment]]</f>
        <v>9714193785</v>
      </c>
      <c r="K59" s="83">
        <f>(Table8[[#This Row],[CurrentAmountSum]]/Table8[[#This Row],[Column2]])*100</f>
        <v>-0.41281052063070017</v>
      </c>
      <c r="L59" s="52">
        <v>-2353184645139</v>
      </c>
      <c r="M59" s="52">
        <v>3339525560849</v>
      </c>
    </row>
    <row r="60" spans="1:13" ht="23.1" customHeight="1">
      <c r="A60" s="55" t="s">
        <v>177</v>
      </c>
      <c r="B60" s="33">
        <v>0</v>
      </c>
      <c r="C60" s="33">
        <v>3903356945</v>
      </c>
      <c r="D60" s="33">
        <v>4525919819</v>
      </c>
      <c r="E60" s="33">
        <f t="shared" si="1"/>
        <v>8429276764</v>
      </c>
      <c r="F60" s="80">
        <f>(Table8[[#This Row],[PeriodAmountSum]]/Table8[[#This Row],[Column3]])*100</f>
        <v>0.25240940997190764</v>
      </c>
      <c r="G60" s="33">
        <v>0</v>
      </c>
      <c r="H60" s="33">
        <v>952411693</v>
      </c>
      <c r="I60" s="33">
        <v>7781924649</v>
      </c>
      <c r="J60" s="33">
        <f>Table8[[#This Row],[CurrentTotalCostProfitLoss]]+Table8[[#This Row],[CurrentChange]]+Table8[[#This Row],[CurrentPureDividendPayment]]</f>
        <v>8734336342</v>
      </c>
      <c r="K60" s="83">
        <f>(Table8[[#This Row],[CurrentAmountSum]]/Table8[[#This Row],[Column2]])*100</f>
        <v>-0.37117088793021902</v>
      </c>
      <c r="L60" s="52">
        <v>-2353184645139</v>
      </c>
      <c r="M60" s="52">
        <v>3339525560849</v>
      </c>
    </row>
    <row r="61" spans="1:13" ht="23.1" customHeight="1">
      <c r="A61" s="55" t="s">
        <v>178</v>
      </c>
      <c r="B61" s="33">
        <v>0</v>
      </c>
      <c r="C61" s="33">
        <v>-2094758196</v>
      </c>
      <c r="D61" s="33">
        <v>-1388057307</v>
      </c>
      <c r="E61" s="33">
        <f t="shared" si="1"/>
        <v>-3482815503</v>
      </c>
      <c r="F61" s="80">
        <f>(Table8[[#This Row],[PeriodAmountSum]]/Table8[[#This Row],[Column3]])*100</f>
        <v>-0.10429072751623353</v>
      </c>
      <c r="G61" s="33">
        <v>0</v>
      </c>
      <c r="H61" s="33">
        <v>-124607010258</v>
      </c>
      <c r="I61" s="33">
        <v>38447130164</v>
      </c>
      <c r="J61" s="33">
        <f>Table8[[#This Row],[CurrentTotalCostProfitLoss]]+Table8[[#This Row],[CurrentChange]]+Table8[[#This Row],[CurrentPureDividendPayment]]</f>
        <v>-86159880094</v>
      </c>
      <c r="K61" s="83">
        <f>(Table8[[#This Row],[CurrentAmountSum]]/Table8[[#This Row],[Column2]])*100</f>
        <v>3.6614160419574993</v>
      </c>
      <c r="L61" s="52">
        <v>-2353184645139</v>
      </c>
      <c r="M61" s="52">
        <v>3339525560849</v>
      </c>
    </row>
    <row r="62" spans="1:13" ht="23.1" customHeight="1">
      <c r="A62" s="55" t="s">
        <v>179</v>
      </c>
      <c r="B62" s="33">
        <v>0</v>
      </c>
      <c r="C62" s="33">
        <v>4207632213</v>
      </c>
      <c r="D62" s="33">
        <v>-3112782228</v>
      </c>
      <c r="E62" s="33">
        <f t="shared" si="1"/>
        <v>1094849985</v>
      </c>
      <c r="F62" s="80">
        <f>(Table8[[#This Row],[PeriodAmountSum]]/Table8[[#This Row],[Column3]])*100</f>
        <v>3.2784596645568383E-2</v>
      </c>
      <c r="G62" s="33">
        <v>0</v>
      </c>
      <c r="H62" s="33">
        <v>1506186234</v>
      </c>
      <c r="I62" s="33">
        <v>40731228909</v>
      </c>
      <c r="J62" s="33">
        <f>Table8[[#This Row],[CurrentTotalCostProfitLoss]]+Table8[[#This Row],[CurrentChange]]+Table8[[#This Row],[CurrentPureDividendPayment]]</f>
        <v>42237415143</v>
      </c>
      <c r="K62" s="83">
        <f>(Table8[[#This Row],[CurrentAmountSum]]/Table8[[#This Row],[Column2]])*100</f>
        <v>-1.7949044173074264</v>
      </c>
      <c r="L62" s="52">
        <v>-2353184645139</v>
      </c>
      <c r="M62" s="52">
        <v>3339525560849</v>
      </c>
    </row>
    <row r="63" spans="1:13" ht="23.1" customHeight="1">
      <c r="A63" s="55" t="s">
        <v>180</v>
      </c>
      <c r="B63" s="33">
        <v>0</v>
      </c>
      <c r="C63" s="33">
        <v>3995859520</v>
      </c>
      <c r="D63" s="33">
        <v>16917480196</v>
      </c>
      <c r="E63" s="33">
        <f t="shared" si="1"/>
        <v>20913339716</v>
      </c>
      <c r="F63" s="80">
        <f>(Table8[[#This Row],[PeriodAmountSum]]/Table8[[#This Row],[Column3]])*100</f>
        <v>0.62623685116167371</v>
      </c>
      <c r="G63" s="33">
        <v>0</v>
      </c>
      <c r="H63" s="33">
        <v>4585530339</v>
      </c>
      <c r="I63" s="33">
        <v>23327021092</v>
      </c>
      <c r="J63" s="33">
        <f>Table8[[#This Row],[CurrentTotalCostProfitLoss]]+Table8[[#This Row],[CurrentChange]]+Table8[[#This Row],[CurrentPureDividendPayment]]</f>
        <v>27912551431</v>
      </c>
      <c r="K63" s="83">
        <f>(Table8[[#This Row],[CurrentAmountSum]]/Table8[[#This Row],[Column2]])*100</f>
        <v>-1.186160698807009</v>
      </c>
      <c r="L63" s="52">
        <v>-2353184645139</v>
      </c>
      <c r="M63" s="52">
        <v>3339525560849</v>
      </c>
    </row>
    <row r="64" spans="1:13" ht="23.1" customHeight="1">
      <c r="A64" s="55" t="s">
        <v>181</v>
      </c>
      <c r="B64" s="33">
        <v>0</v>
      </c>
      <c r="C64" s="33">
        <v>15335625761</v>
      </c>
      <c r="D64" s="33">
        <v>-5473007741</v>
      </c>
      <c r="E64" s="33">
        <f t="shared" si="1"/>
        <v>9862618020</v>
      </c>
      <c r="F64" s="80">
        <f>(Table8[[#This Row],[PeriodAmountSum]]/Table8[[#This Row],[Column3]])*100</f>
        <v>0.29532991559114308</v>
      </c>
      <c r="G64" s="33">
        <v>0</v>
      </c>
      <c r="H64" s="33">
        <v>-6672602768</v>
      </c>
      <c r="I64" s="33">
        <v>-8017915083</v>
      </c>
      <c r="J64" s="33">
        <f>Table8[[#This Row],[CurrentTotalCostProfitLoss]]+Table8[[#This Row],[CurrentChange]]+Table8[[#This Row],[CurrentPureDividendPayment]]</f>
        <v>-14690517851</v>
      </c>
      <c r="K64" s="83">
        <f>(Table8[[#This Row],[CurrentAmountSum]]/Table8[[#This Row],[Column2]])*100</f>
        <v>0.62428241155433206</v>
      </c>
      <c r="L64" s="52">
        <v>-2353184645139</v>
      </c>
      <c r="M64" s="52">
        <v>3339525560849</v>
      </c>
    </row>
    <row r="65" spans="1:13" ht="23.1" customHeight="1">
      <c r="A65" s="55" t="s">
        <v>182</v>
      </c>
      <c r="B65" s="33">
        <v>0</v>
      </c>
      <c r="C65" s="33">
        <v>888926227770</v>
      </c>
      <c r="D65" s="33">
        <v>-44944841363</v>
      </c>
      <c r="E65" s="33">
        <f t="shared" si="1"/>
        <v>843981386407</v>
      </c>
      <c r="F65" s="80">
        <f>(Table8[[#This Row],[PeriodAmountSum]]/Table8[[#This Row],[Column3]])*100</f>
        <v>25.272493682978027</v>
      </c>
      <c r="G65" s="33">
        <v>0</v>
      </c>
      <c r="H65" s="33">
        <v>-223526688291</v>
      </c>
      <c r="I65" s="33">
        <v>-349720370033</v>
      </c>
      <c r="J65" s="33">
        <f>Table8[[#This Row],[CurrentTotalCostProfitLoss]]+Table8[[#This Row],[CurrentChange]]+Table8[[#This Row],[CurrentPureDividendPayment]]</f>
        <v>-573247058324</v>
      </c>
      <c r="K65" s="83">
        <f>(Table8[[#This Row],[CurrentAmountSum]]/Table8[[#This Row],[Column2]])*100</f>
        <v>24.360479298050958</v>
      </c>
      <c r="L65" s="52">
        <v>-2353184645139</v>
      </c>
      <c r="M65" s="52">
        <v>3339525560849</v>
      </c>
    </row>
    <row r="66" spans="1:13" ht="23.1" customHeight="1">
      <c r="A66" s="55" t="s">
        <v>183</v>
      </c>
      <c r="B66" s="33">
        <v>0</v>
      </c>
      <c r="C66" s="33">
        <v>66285074409</v>
      </c>
      <c r="D66" s="33">
        <v>-2535619181</v>
      </c>
      <c r="E66" s="33">
        <f t="shared" si="1"/>
        <v>63749455228</v>
      </c>
      <c r="F66" s="80">
        <f>(Table8[[#This Row],[PeriodAmountSum]]/Table8[[#This Row],[Column3]])*100</f>
        <v>1.9089374842752551</v>
      </c>
      <c r="G66" s="33">
        <f>'درآمد سود سهام'!J11</f>
        <v>167701800</v>
      </c>
      <c r="H66" s="33">
        <v>-18188308319</v>
      </c>
      <c r="I66" s="33">
        <f>'درآمد ناشی ازفروش'!K13</f>
        <v>680601507</v>
      </c>
      <c r="J66" s="33">
        <f>Table8[[#This Row],[CurrentTotalCostProfitLoss]]+Table8[[#This Row],[CurrentChange]]+Table8[[#This Row],[CurrentPureDividendPayment]]</f>
        <v>-17340005012</v>
      </c>
      <c r="K66" s="83">
        <f>(Table8[[#This Row],[CurrentAmountSum]]/Table8[[#This Row],[Column2]])*100</f>
        <v>0.73687396557764573</v>
      </c>
      <c r="L66" s="52">
        <v>-2353184645139</v>
      </c>
      <c r="M66" s="52">
        <v>3339525560849</v>
      </c>
    </row>
    <row r="67" spans="1:13" ht="23.1" customHeight="1">
      <c r="A67" s="55" t="s">
        <v>184</v>
      </c>
      <c r="B67" s="33"/>
      <c r="C67" s="33">
        <v>14197825373</v>
      </c>
      <c r="D67" s="33">
        <v>-1235566673</v>
      </c>
      <c r="E67" s="33">
        <f t="shared" si="1"/>
        <v>12962258700</v>
      </c>
      <c r="F67" s="80">
        <f>(Table8[[#This Row],[PeriodAmountSum]]/Table8[[#This Row],[Column3]])*100</f>
        <v>0.38814671317277283</v>
      </c>
      <c r="G67" s="33">
        <f>'درآمد سود سهام'!J16</f>
        <v>320022000</v>
      </c>
      <c r="H67" s="33">
        <v>-14513868914</v>
      </c>
      <c r="I67" s="33">
        <f>'درآمد ناشی ازفروش'!K82</f>
        <v>-23281933947</v>
      </c>
      <c r="J67" s="33">
        <f>Table8[[#This Row],[CurrentTotalCostProfitLoss]]+Table8[[#This Row],[CurrentChange]]+Table8[[#This Row],[CurrentPureDividendPayment]]</f>
        <v>-37475780861</v>
      </c>
      <c r="K67" s="83">
        <f>(Table8[[#This Row],[CurrentAmountSum]]/Table8[[#This Row],[Column2]])*100</f>
        <v>1.5925558981703429</v>
      </c>
      <c r="L67" s="52">
        <v>-2353184645139</v>
      </c>
      <c r="M67" s="52">
        <v>3339525560849</v>
      </c>
    </row>
    <row r="68" spans="1:13" ht="23.1" customHeight="1">
      <c r="A68" s="55" t="s">
        <v>185</v>
      </c>
      <c r="B68" s="33">
        <v>0</v>
      </c>
      <c r="C68" s="33">
        <v>1048929159</v>
      </c>
      <c r="D68" s="33">
        <v>-5923559500</v>
      </c>
      <c r="E68" s="33">
        <f t="shared" si="1"/>
        <v>-4874630341</v>
      </c>
      <c r="F68" s="80">
        <f>(Table8[[#This Row],[PeriodAmountSum]]/Table8[[#This Row],[Column3]])*100</f>
        <v>-0.14596775057354955</v>
      </c>
      <c r="G68" s="33">
        <v>6534840</v>
      </c>
      <c r="H68" s="33">
        <v>-2793087149</v>
      </c>
      <c r="I68" s="33">
        <f>'درآمد ناشی ازفروش'!K32</f>
        <v>11278948138</v>
      </c>
      <c r="J68" s="33">
        <f>Table8[[#This Row],[CurrentTotalCostProfitLoss]]+Table8[[#This Row],[CurrentChange]]+Table8[[#This Row],[CurrentPureDividendPayment]]</f>
        <v>8492395829</v>
      </c>
      <c r="K68" s="83">
        <f>(Table8[[#This Row],[CurrentAmountSum]]/Table8[[#This Row],[Column2]])*100</f>
        <v>-0.36088947998801701</v>
      </c>
      <c r="L68" s="52">
        <v>-2353184645139</v>
      </c>
      <c r="M68" s="52">
        <v>3339525560849</v>
      </c>
    </row>
    <row r="69" spans="1:13" ht="23.1" customHeight="1">
      <c r="A69" s="55" t="s">
        <v>186</v>
      </c>
      <c r="B69" s="33">
        <v>0</v>
      </c>
      <c r="C69" s="33">
        <v>-2704604838</v>
      </c>
      <c r="D69" s="33">
        <v>-3637397130</v>
      </c>
      <c r="E69" s="33">
        <f t="shared" si="1"/>
        <v>-6342001968</v>
      </c>
      <c r="F69" s="80">
        <f>(Table8[[#This Row],[PeriodAmountSum]]/Table8[[#This Row],[Column3]])*100</f>
        <v>-0.18990727432514956</v>
      </c>
      <c r="G69" s="33">
        <v>0</v>
      </c>
      <c r="H69" s="33">
        <v>-22803717579</v>
      </c>
      <c r="I69" s="33">
        <v>561628450</v>
      </c>
      <c r="J69" s="33">
        <f>Table8[[#This Row],[CurrentTotalCostProfitLoss]]+Table8[[#This Row],[CurrentChange]]+Table8[[#This Row],[CurrentPureDividendPayment]]</f>
        <v>-22242089129</v>
      </c>
      <c r="K69" s="83">
        <f>(Table8[[#This Row],[CurrentAmountSum]]/Table8[[#This Row],[Column2]])*100</f>
        <v>0.94519098511652</v>
      </c>
      <c r="L69" s="52">
        <v>-2353184645139</v>
      </c>
      <c r="M69" s="52">
        <v>3339525560849</v>
      </c>
    </row>
    <row r="70" spans="1:13" ht="23.1" customHeight="1">
      <c r="A70" s="55" t="s">
        <v>187</v>
      </c>
      <c r="B70" s="33">
        <v>0</v>
      </c>
      <c r="C70" s="33">
        <v>3256098971</v>
      </c>
      <c r="D70" s="33">
        <v>20027846208</v>
      </c>
      <c r="E70" s="33">
        <f t="shared" si="1"/>
        <v>23283945179</v>
      </c>
      <c r="F70" s="80">
        <f>(Table8[[#This Row],[PeriodAmountSum]]/Table8[[#This Row],[Column3]])*100</f>
        <v>0.69722314606511282</v>
      </c>
      <c r="G70" s="33">
        <v>0</v>
      </c>
      <c r="H70" s="33">
        <v>-3649066556</v>
      </c>
      <c r="I70" s="33">
        <v>40974749391</v>
      </c>
      <c r="J70" s="33">
        <f>Table8[[#This Row],[CurrentTotalCostProfitLoss]]+Table8[[#This Row],[CurrentChange]]+Table8[[#This Row],[CurrentPureDividendPayment]]</f>
        <v>37325682835</v>
      </c>
      <c r="K70" s="83">
        <f>(Table8[[#This Row],[CurrentAmountSum]]/Table8[[#This Row],[Column2]])*100</f>
        <v>-1.5861773920760567</v>
      </c>
      <c r="L70" s="52">
        <v>-2353184645139</v>
      </c>
      <c r="M70" s="52">
        <v>3339525560849</v>
      </c>
    </row>
    <row r="71" spans="1:13" ht="23.1" customHeight="1">
      <c r="A71" s="55" t="s">
        <v>188</v>
      </c>
      <c r="B71" s="33">
        <v>0</v>
      </c>
      <c r="C71" s="33">
        <v>2745390823</v>
      </c>
      <c r="D71" s="33">
        <v>-16175758357</v>
      </c>
      <c r="E71" s="33">
        <f t="shared" si="1"/>
        <v>-13430367534</v>
      </c>
      <c r="F71" s="80">
        <f>(Table8[[#This Row],[PeriodAmountSum]]/Table8[[#This Row],[Column3]])*100</f>
        <v>-0.40216393883763618</v>
      </c>
      <c r="G71" s="33">
        <v>0</v>
      </c>
      <c r="H71" s="33">
        <v>-9304799082</v>
      </c>
      <c r="I71" s="33">
        <v>-15626578101</v>
      </c>
      <c r="J71" s="33">
        <f>Table8[[#This Row],[CurrentTotalCostProfitLoss]]+Table8[[#This Row],[CurrentChange]]+Table8[[#This Row],[CurrentPureDividendPayment]]</f>
        <v>-24931377183</v>
      </c>
      <c r="K71" s="83">
        <f>(Table8[[#This Row],[CurrentAmountSum]]/Table8[[#This Row],[Column2]])*100</f>
        <v>1.0594739020799335</v>
      </c>
      <c r="L71" s="52">
        <v>-2353184645139</v>
      </c>
      <c r="M71" s="52">
        <v>3339525560849</v>
      </c>
    </row>
    <row r="72" spans="1:13" ht="23.1" customHeight="1">
      <c r="A72" s="55" t="s">
        <v>189</v>
      </c>
      <c r="B72" s="33">
        <v>0</v>
      </c>
      <c r="C72" s="33">
        <v>-5026215961</v>
      </c>
      <c r="D72" s="33">
        <v>0</v>
      </c>
      <c r="E72" s="33">
        <f t="shared" si="1"/>
        <v>-5026215961</v>
      </c>
      <c r="F72" s="80">
        <f>(Table8[[#This Row],[PeriodAmountSum]]/Table8[[#This Row],[Column3]])*100</f>
        <v>-0.1505068869639733</v>
      </c>
      <c r="G72" s="33">
        <v>0</v>
      </c>
      <c r="H72" s="33">
        <v>-5047361033</v>
      </c>
      <c r="I72" s="33">
        <v>262344851</v>
      </c>
      <c r="J72" s="33">
        <f>Table8[[#This Row],[CurrentTotalCostProfitLoss]]+Table8[[#This Row],[CurrentChange]]+Table8[[#This Row],[CurrentPureDividendPayment]]</f>
        <v>-4785016182</v>
      </c>
      <c r="K72" s="83">
        <f>(Table8[[#This Row],[CurrentAmountSum]]/Table8[[#This Row],[Column2]])*100</f>
        <v>0.20334214707224363</v>
      </c>
      <c r="L72" s="52">
        <v>-2353184645139</v>
      </c>
      <c r="M72" s="52">
        <v>3339525560849</v>
      </c>
    </row>
    <row r="73" spans="1:13" ht="23.1" customHeight="1">
      <c r="A73" s="55" t="s">
        <v>190</v>
      </c>
      <c r="B73" s="33">
        <v>0</v>
      </c>
      <c r="C73" s="33">
        <v>8435277151</v>
      </c>
      <c r="D73" s="33">
        <v>-6438017227</v>
      </c>
      <c r="E73" s="33">
        <f t="shared" si="1"/>
        <v>1997259924</v>
      </c>
      <c r="F73" s="80">
        <f>(Table8[[#This Row],[PeriodAmountSum]]/Table8[[#This Row],[Column3]])*100</f>
        <v>5.9806696718088338E-2</v>
      </c>
      <c r="G73" s="33">
        <v>0</v>
      </c>
      <c r="H73" s="33">
        <v>-18405523924</v>
      </c>
      <c r="I73" s="33">
        <f>'درآمد ناشی ازفروش'!K35</f>
        <v>-8680241308</v>
      </c>
      <c r="J73" s="33">
        <f>Table8[[#This Row],[CurrentTotalCostProfitLoss]]+Table8[[#This Row],[CurrentChange]]+Table8[[#This Row],[CurrentPureDividendPayment]]</f>
        <v>-27085765232</v>
      </c>
      <c r="K73" s="83">
        <f>(Table8[[#This Row],[CurrentAmountSum]]/Table8[[#This Row],[Column2]])*100</f>
        <v>1.1510259208919866</v>
      </c>
      <c r="L73" s="52">
        <v>-2353184645139</v>
      </c>
      <c r="M73" s="52">
        <v>3339525560849</v>
      </c>
    </row>
    <row r="74" spans="1:13" ht="23.1" customHeight="1">
      <c r="A74" s="55" t="s">
        <v>191</v>
      </c>
      <c r="B74" s="33"/>
      <c r="C74" s="33">
        <v>27522409818</v>
      </c>
      <c r="D74" s="33">
        <v>-3186476636</v>
      </c>
      <c r="E74" s="33">
        <f t="shared" si="1"/>
        <v>24335933182</v>
      </c>
      <c r="F74" s="80">
        <f>(Table8[[#This Row],[PeriodAmountSum]]/Table8[[#This Row],[Column3]])*100</f>
        <v>0.72872426752179531</v>
      </c>
      <c r="G74" s="33">
        <f>'درآمد سود سهام'!J8</f>
        <v>286663750</v>
      </c>
      <c r="H74" s="33">
        <v>6673081707</v>
      </c>
      <c r="I74" s="33">
        <f>'درآمد ناشی ازفروش'!K75</f>
        <v>-7095077258</v>
      </c>
      <c r="J74" s="33">
        <f>Table8[[#This Row],[CurrentTotalCostProfitLoss]]+Table8[[#This Row],[CurrentChange]]+Table8[[#This Row],[CurrentPureDividendPayment]]</f>
        <v>-135331801</v>
      </c>
      <c r="K74" s="83">
        <f>(Table8[[#This Row],[CurrentAmountSum]]/Table8[[#This Row],[Column2]])*100</f>
        <v>5.751006461798755E-3</v>
      </c>
      <c r="L74" s="52">
        <v>-2353184645139</v>
      </c>
      <c r="M74" s="52">
        <v>3339525560849</v>
      </c>
    </row>
    <row r="75" spans="1:13" ht="23.1" customHeight="1">
      <c r="A75" s="55" t="s">
        <v>192</v>
      </c>
      <c r="B75" s="33">
        <v>0</v>
      </c>
      <c r="C75" s="33">
        <v>410700125</v>
      </c>
      <c r="D75" s="33">
        <v>6888493819</v>
      </c>
      <c r="E75" s="33">
        <f t="shared" si="1"/>
        <v>7299193944</v>
      </c>
      <c r="F75" s="80">
        <f>(Table8[[#This Row],[PeriodAmountSum]]/Table8[[#This Row],[Column3]])*100</f>
        <v>0.21856978816309292</v>
      </c>
      <c r="G75" s="33">
        <v>0</v>
      </c>
      <c r="H75" s="33">
        <v>611052551</v>
      </c>
      <c r="I75" s="33">
        <v>11949795812</v>
      </c>
      <c r="J75" s="33">
        <f>Table8[[#This Row],[CurrentTotalCostProfitLoss]]+Table8[[#This Row],[CurrentChange]]+Table8[[#This Row],[CurrentPureDividendPayment]]</f>
        <v>12560848363</v>
      </c>
      <c r="K75" s="83">
        <f>(Table8[[#This Row],[CurrentAmountSum]]/Table8[[#This Row],[Column2]])*100</f>
        <v>-0.53378082289237627</v>
      </c>
      <c r="L75" s="52">
        <v>-2353184645139</v>
      </c>
      <c r="M75" s="52">
        <v>3339525560849</v>
      </c>
    </row>
    <row r="76" spans="1:13" ht="23.1" customHeight="1">
      <c r="A76" s="55" t="s">
        <v>193</v>
      </c>
      <c r="B76" s="33">
        <v>0</v>
      </c>
      <c r="C76" s="33">
        <v>18820287863</v>
      </c>
      <c r="D76" s="33">
        <v>-10700321962</v>
      </c>
      <c r="E76" s="33">
        <f t="shared" ref="E76:E101" si="2">D76+C76+B76</f>
        <v>8119965901</v>
      </c>
      <c r="F76" s="80">
        <f>(Table8[[#This Row],[PeriodAmountSum]]/Table8[[#This Row],[Column3]])*100</f>
        <v>0.24314729002809848</v>
      </c>
      <c r="G76" s="33">
        <v>0</v>
      </c>
      <c r="H76" s="33">
        <v>-11703106777</v>
      </c>
      <c r="I76" s="33">
        <v>15845224692</v>
      </c>
      <c r="J76" s="33">
        <f>Table8[[#This Row],[CurrentTotalCostProfitLoss]]+Table8[[#This Row],[CurrentChange]]+Table8[[#This Row],[CurrentPureDividendPayment]]</f>
        <v>4142117915</v>
      </c>
      <c r="K76" s="83">
        <f>(Table8[[#This Row],[CurrentAmountSum]]/Table8[[#This Row],[Column2]])*100</f>
        <v>-0.17602179767560608</v>
      </c>
      <c r="L76" s="52">
        <v>-2353184645139</v>
      </c>
      <c r="M76" s="52">
        <v>3339525560849</v>
      </c>
    </row>
    <row r="77" spans="1:13" ht="23.1" customHeight="1">
      <c r="A77" s="55" t="s">
        <v>194</v>
      </c>
      <c r="B77" s="33">
        <v>0</v>
      </c>
      <c r="C77" s="33">
        <v>21467113746</v>
      </c>
      <c r="D77" s="33">
        <v>4209963555</v>
      </c>
      <c r="E77" s="33">
        <f t="shared" si="2"/>
        <v>25677077301</v>
      </c>
      <c r="F77" s="80">
        <f>(Table8[[#This Row],[PeriodAmountSum]]/Table8[[#This Row],[Column3]])*100</f>
        <v>0.76888398765458688</v>
      </c>
      <c r="G77" s="33">
        <v>0</v>
      </c>
      <c r="H77" s="33">
        <v>1334872226</v>
      </c>
      <c r="I77" s="33">
        <v>19596371994</v>
      </c>
      <c r="J77" s="33">
        <f>Table8[[#This Row],[CurrentTotalCostProfitLoss]]+Table8[[#This Row],[CurrentChange]]+Table8[[#This Row],[CurrentPureDividendPayment]]</f>
        <v>20931244220</v>
      </c>
      <c r="K77" s="83">
        <f>(Table8[[#This Row],[CurrentAmountSum]]/Table8[[#This Row],[Column2]])*100</f>
        <v>-0.88948584052840518</v>
      </c>
      <c r="L77" s="52">
        <v>-2353184645139</v>
      </c>
      <c r="M77" s="52">
        <v>3339525560849</v>
      </c>
    </row>
    <row r="78" spans="1:13" ht="23.1" customHeight="1">
      <c r="A78" s="55" t="s">
        <v>195</v>
      </c>
      <c r="B78" s="33">
        <v>0</v>
      </c>
      <c r="C78" s="33">
        <v>9807157</v>
      </c>
      <c r="D78" s="33">
        <v>1453380138</v>
      </c>
      <c r="E78" s="33">
        <f t="shared" si="2"/>
        <v>1463187295</v>
      </c>
      <c r="F78" s="80">
        <f>(Table8[[#This Row],[PeriodAmountSum]]/Table8[[#This Row],[Column3]])*100</f>
        <v>4.381422655222969E-2</v>
      </c>
      <c r="G78" s="33">
        <v>0</v>
      </c>
      <c r="H78" s="33">
        <v>9807157</v>
      </c>
      <c r="I78" s="33">
        <v>765895091</v>
      </c>
      <c r="J78" s="33">
        <f>Table8[[#This Row],[CurrentTotalCostProfitLoss]]+Table8[[#This Row],[CurrentChange]]+Table8[[#This Row],[CurrentPureDividendPayment]]</f>
        <v>775702248</v>
      </c>
      <c r="K78" s="83">
        <f>(Table8[[#This Row],[CurrentAmountSum]]/Table8[[#This Row],[Column2]])*100</f>
        <v>-3.2963934623760904E-2</v>
      </c>
      <c r="L78" s="52">
        <v>-2353184645139</v>
      </c>
      <c r="M78" s="52">
        <v>3339525560849</v>
      </c>
    </row>
    <row r="79" spans="1:13" ht="23.1" customHeight="1">
      <c r="A79" s="55" t="s">
        <v>196</v>
      </c>
      <c r="B79" s="33">
        <v>0</v>
      </c>
      <c r="C79" s="33">
        <v>11816101061</v>
      </c>
      <c r="D79" s="33">
        <v>5951987014</v>
      </c>
      <c r="E79" s="33">
        <f t="shared" si="2"/>
        <v>17768088075</v>
      </c>
      <c r="F79" s="80">
        <f>(Table8[[#This Row],[PeriodAmountSum]]/Table8[[#This Row],[Column3]])*100</f>
        <v>0.53205426193782024</v>
      </c>
      <c r="G79" s="33">
        <v>0</v>
      </c>
      <c r="H79" s="33">
        <v>5897802969</v>
      </c>
      <c r="I79" s="33">
        <v>9096391298</v>
      </c>
      <c r="J79" s="33">
        <f>Table8[[#This Row],[CurrentTotalCostProfitLoss]]+Table8[[#This Row],[CurrentChange]]+Table8[[#This Row],[CurrentPureDividendPayment]]</f>
        <v>14994194267</v>
      </c>
      <c r="K79" s="83">
        <f>(Table8[[#This Row],[CurrentAmountSum]]/Table8[[#This Row],[Column2]])*100</f>
        <v>-0.63718732390905553</v>
      </c>
      <c r="L79" s="52">
        <v>-2353184645139</v>
      </c>
      <c r="M79" s="52">
        <v>3339525560849</v>
      </c>
    </row>
    <row r="80" spans="1:13" ht="23.1" customHeight="1">
      <c r="A80" s="55" t="s">
        <v>197</v>
      </c>
      <c r="B80" s="33">
        <v>0</v>
      </c>
      <c r="C80" s="33">
        <v>-3043031342</v>
      </c>
      <c r="D80" s="33">
        <v>13728466284</v>
      </c>
      <c r="E80" s="33">
        <f t="shared" si="2"/>
        <v>10685434942</v>
      </c>
      <c r="F80" s="80">
        <f>(Table8[[#This Row],[PeriodAmountSum]]/Table8[[#This Row],[Column3]])*100</f>
        <v>0.31996865265147023</v>
      </c>
      <c r="G80" s="33">
        <v>0</v>
      </c>
      <c r="H80" s="33">
        <v>-1646791162</v>
      </c>
      <c r="I80" s="33">
        <v>29441147722</v>
      </c>
      <c r="J80" s="33">
        <f>Table8[[#This Row],[CurrentTotalCostProfitLoss]]+Table8[[#This Row],[CurrentChange]]+Table8[[#This Row],[CurrentPureDividendPayment]]</f>
        <v>27794356560</v>
      </c>
      <c r="K80" s="83">
        <f>(Table8[[#This Row],[CurrentAmountSum]]/Table8[[#This Row],[Column2]])*100</f>
        <v>-1.1811379365157391</v>
      </c>
      <c r="L80" s="52">
        <v>-2353184645139</v>
      </c>
      <c r="M80" s="52">
        <v>3339525560849</v>
      </c>
    </row>
    <row r="81" spans="1:13" ht="23.1" customHeight="1">
      <c r="A81" s="55" t="s">
        <v>198</v>
      </c>
      <c r="B81" s="33">
        <v>0</v>
      </c>
      <c r="C81" s="33">
        <v>1639993764</v>
      </c>
      <c r="D81" s="33">
        <v>9710438374</v>
      </c>
      <c r="E81" s="33">
        <f t="shared" si="2"/>
        <v>11350432138</v>
      </c>
      <c r="F81" s="80">
        <f>(Table8[[#This Row],[PeriodAmountSum]]/Table8[[#This Row],[Column3]])*100</f>
        <v>0.33988157692419058</v>
      </c>
      <c r="G81" s="33">
        <v>0</v>
      </c>
      <c r="H81" s="33">
        <v>-764407245</v>
      </c>
      <c r="I81" s="33">
        <v>18599622699</v>
      </c>
      <c r="J81" s="33">
        <f>Table8[[#This Row],[CurrentTotalCostProfitLoss]]+Table8[[#This Row],[CurrentChange]]+Table8[[#This Row],[CurrentPureDividendPayment]]</f>
        <v>17835215454</v>
      </c>
      <c r="K81" s="83">
        <f>(Table8[[#This Row],[CurrentAmountSum]]/Table8[[#This Row],[Column2]])*100</f>
        <v>-0.75791823182436646</v>
      </c>
      <c r="L81" s="52">
        <v>-2353184645139</v>
      </c>
      <c r="M81" s="52">
        <v>3339525560849</v>
      </c>
    </row>
    <row r="82" spans="1:13" ht="23.1" customHeight="1">
      <c r="A82" s="55" t="s">
        <v>199</v>
      </c>
      <c r="B82" s="33">
        <v>0</v>
      </c>
      <c r="C82" s="33">
        <v>165730238183</v>
      </c>
      <c r="D82" s="33">
        <v>-10250688978</v>
      </c>
      <c r="E82" s="33">
        <f t="shared" si="2"/>
        <v>155479549205</v>
      </c>
      <c r="F82" s="80">
        <f>(Table8[[#This Row],[PeriodAmountSum]]/Table8[[#This Row],[Column3]])*100</f>
        <v>4.6557376600966274</v>
      </c>
      <c r="G82" s="33">
        <f>'درآمد سود سهام'!J15</f>
        <v>3147276000</v>
      </c>
      <c r="H82" s="33">
        <v>-115729916880</v>
      </c>
      <c r="I82" s="33">
        <f>'درآمد ناشی ازفروش'!K16</f>
        <v>-19578753495</v>
      </c>
      <c r="J82" s="33">
        <f>Table8[[#This Row],[CurrentTotalCostProfitLoss]]+Table8[[#This Row],[CurrentChange]]+Table8[[#This Row],[CurrentPureDividendPayment]]</f>
        <v>-132161394375</v>
      </c>
      <c r="K82" s="83">
        <f>(Table8[[#This Row],[CurrentAmountSum]]/Table8[[#This Row],[Column2]])*100</f>
        <v>5.6162781211413764</v>
      </c>
      <c r="L82" s="52">
        <v>-2353184645139</v>
      </c>
      <c r="M82" s="52">
        <v>3339525560849</v>
      </c>
    </row>
    <row r="83" spans="1:13" ht="23.1" customHeight="1">
      <c r="A83" s="55" t="s">
        <v>200</v>
      </c>
      <c r="B83" s="33">
        <v>0</v>
      </c>
      <c r="C83" s="33">
        <v>-8018034977</v>
      </c>
      <c r="D83" s="33">
        <v>-4090166596</v>
      </c>
      <c r="E83" s="33">
        <f t="shared" si="2"/>
        <v>-12108201573</v>
      </c>
      <c r="F83" s="80">
        <f>(Table8[[#This Row],[PeriodAmountSum]]/Table8[[#This Row],[Column3]])*100</f>
        <v>-0.36257250775232153</v>
      </c>
      <c r="G83" s="33">
        <v>0</v>
      </c>
      <c r="H83" s="33">
        <v>-20419881347</v>
      </c>
      <c r="I83" s="33">
        <v>395479996</v>
      </c>
      <c r="J83" s="33">
        <f>Table8[[#This Row],[CurrentTotalCostProfitLoss]]+Table8[[#This Row],[CurrentChange]]+Table8[[#This Row],[CurrentPureDividendPayment]]</f>
        <v>-20024401351</v>
      </c>
      <c r="K83" s="83">
        <f>(Table8[[#This Row],[CurrentAmountSum]]/Table8[[#This Row],[Column2]])*100</f>
        <v>0.85094900616339786</v>
      </c>
      <c r="L83" s="52">
        <v>-2353184645139</v>
      </c>
      <c r="M83" s="52">
        <v>3339525560849</v>
      </c>
    </row>
    <row r="84" spans="1:13" ht="23.1" customHeight="1">
      <c r="A84" s="55" t="s">
        <v>201</v>
      </c>
      <c r="B84" s="33">
        <v>0</v>
      </c>
      <c r="C84" s="33">
        <v>129412709718</v>
      </c>
      <c r="D84" s="33">
        <v>-61929960185</v>
      </c>
      <c r="E84" s="33">
        <f t="shared" si="2"/>
        <v>67482749533</v>
      </c>
      <c r="F84" s="80">
        <f>(Table8[[#This Row],[PeriodAmountSum]]/Table8[[#This Row],[Column3]])*100</f>
        <v>2.0207286425393916</v>
      </c>
      <c r="G84" s="33">
        <v>0</v>
      </c>
      <c r="H84" s="33">
        <v>-13185551202</v>
      </c>
      <c r="I84" s="33">
        <v>-58191808037</v>
      </c>
      <c r="J84" s="33">
        <f>Table8[[#This Row],[CurrentTotalCostProfitLoss]]+Table8[[#This Row],[CurrentChange]]+Table8[[#This Row],[CurrentPureDividendPayment]]</f>
        <v>-71377359239</v>
      </c>
      <c r="K84" s="83">
        <f>(Table8[[#This Row],[CurrentAmountSum]]/Table8[[#This Row],[Column2]])*100</f>
        <v>3.0332239072885763</v>
      </c>
      <c r="L84" s="52">
        <v>-2353184645139</v>
      </c>
      <c r="M84" s="52">
        <v>3339525560849</v>
      </c>
    </row>
    <row r="85" spans="1:13" ht="23.1" customHeight="1">
      <c r="A85" s="55" t="s">
        <v>202</v>
      </c>
      <c r="B85" s="33">
        <v>0</v>
      </c>
      <c r="C85" s="33">
        <v>4241161548</v>
      </c>
      <c r="D85" s="33">
        <v>1174671731</v>
      </c>
      <c r="E85" s="33">
        <f t="shared" si="2"/>
        <v>5415833279</v>
      </c>
      <c r="F85" s="80">
        <f>(Table8[[#This Row],[PeriodAmountSum]]/Table8[[#This Row],[Column3]])*100</f>
        <v>0.16217373337376537</v>
      </c>
      <c r="G85" s="33">
        <v>0</v>
      </c>
      <c r="H85" s="33">
        <v>13902195</v>
      </c>
      <c r="I85" s="33">
        <v>1797109017</v>
      </c>
      <c r="J85" s="33">
        <f>Table8[[#This Row],[CurrentTotalCostProfitLoss]]+Table8[[#This Row],[CurrentChange]]+Table8[[#This Row],[CurrentPureDividendPayment]]</f>
        <v>1811011212</v>
      </c>
      <c r="K85" s="83">
        <f>(Table8[[#This Row],[CurrentAmountSum]]/Table8[[#This Row],[Column2]])*100</f>
        <v>-7.6960013135434407E-2</v>
      </c>
      <c r="L85" s="52">
        <v>-2353184645139</v>
      </c>
      <c r="M85" s="52">
        <v>3339525560849</v>
      </c>
    </row>
    <row r="86" spans="1:13" ht="23.1" customHeight="1">
      <c r="A86" s="55" t="s">
        <v>203</v>
      </c>
      <c r="B86" s="33">
        <v>0</v>
      </c>
      <c r="C86" s="33">
        <v>358426478</v>
      </c>
      <c r="D86" s="33">
        <v>-7180109</v>
      </c>
      <c r="E86" s="33">
        <f t="shared" si="2"/>
        <v>351246369</v>
      </c>
      <c r="F86" s="80">
        <f>(Table8[[#This Row],[PeriodAmountSum]]/Table8[[#This Row],[Column3]])*100</f>
        <v>1.0517852389508388E-2</v>
      </c>
      <c r="G86" s="33">
        <v>0</v>
      </c>
      <c r="H86" s="33">
        <v>332219731</v>
      </c>
      <c r="I86" s="33">
        <v>1199019928</v>
      </c>
      <c r="J86" s="33">
        <f>Table8[[#This Row],[CurrentTotalCostProfitLoss]]+Table8[[#This Row],[CurrentChange]]+Table8[[#This Row],[CurrentPureDividendPayment]]</f>
        <v>1531239659</v>
      </c>
      <c r="K86" s="83">
        <f>(Table8[[#This Row],[CurrentAmountSum]]/Table8[[#This Row],[Column2]])*100</f>
        <v>-6.507095234379924E-2</v>
      </c>
      <c r="L86" s="52">
        <v>-2353184645139</v>
      </c>
      <c r="M86" s="52">
        <v>3339525560849</v>
      </c>
    </row>
    <row r="87" spans="1:13" ht="23.1" customHeight="1">
      <c r="A87" s="55" t="s">
        <v>204</v>
      </c>
      <c r="B87" s="33">
        <v>0</v>
      </c>
      <c r="C87" s="33">
        <v>-16326925236</v>
      </c>
      <c r="D87" s="33">
        <v>-2020217887</v>
      </c>
      <c r="E87" s="33">
        <f t="shared" si="2"/>
        <v>-18347143123</v>
      </c>
      <c r="F87" s="80">
        <f>(Table8[[#This Row],[PeriodAmountSum]]/Table8[[#This Row],[Column3]])*100</f>
        <v>-0.54939370244962726</v>
      </c>
      <c r="G87" s="33">
        <v>0</v>
      </c>
      <c r="H87" s="33">
        <v>-16255026494</v>
      </c>
      <c r="I87" s="33">
        <v>-829224672</v>
      </c>
      <c r="J87" s="33">
        <f>Table8[[#This Row],[CurrentTotalCostProfitLoss]]+Table8[[#This Row],[CurrentChange]]+Table8[[#This Row],[CurrentPureDividendPayment]]</f>
        <v>-17084251166</v>
      </c>
      <c r="K87" s="83">
        <f>(Table8[[#This Row],[CurrentAmountSum]]/Table8[[#This Row],[Column2]])*100</f>
        <v>0.72600555172290149</v>
      </c>
      <c r="L87" s="52">
        <v>-2353184645139</v>
      </c>
      <c r="M87" s="52">
        <v>3339525560849</v>
      </c>
    </row>
    <row r="88" spans="1:13" ht="23.1" customHeight="1">
      <c r="A88" s="55" t="s">
        <v>313</v>
      </c>
      <c r="B88" s="33">
        <v>0</v>
      </c>
      <c r="C88" s="33">
        <v>0</v>
      </c>
      <c r="D88" s="33">
        <v>0</v>
      </c>
      <c r="E88" s="33">
        <f t="shared" si="2"/>
        <v>0</v>
      </c>
      <c r="F88" s="80">
        <f>(Table8[[#This Row],[PeriodAmountSum]]/Table8[[#This Row],[Column3]])*100</f>
        <v>0</v>
      </c>
      <c r="G88" s="33">
        <v>0</v>
      </c>
      <c r="H88" s="33">
        <v>0</v>
      </c>
      <c r="I88" s="33">
        <v>0</v>
      </c>
      <c r="J88" s="33">
        <f>Table8[[#This Row],[CurrentTotalCostProfitLoss]]+Table8[[#This Row],[CurrentChange]]+Table8[[#This Row],[CurrentPureDividendPayment]]</f>
        <v>0</v>
      </c>
      <c r="K88" s="83">
        <f>(Table8[[#This Row],[CurrentAmountSum]]/Table8[[#This Row],[Column2]])*100</f>
        <v>0</v>
      </c>
      <c r="L88" s="52">
        <v>-2353184645139</v>
      </c>
      <c r="M88" s="52">
        <v>3339525560849</v>
      </c>
    </row>
    <row r="89" spans="1:13" ht="23.1" customHeight="1">
      <c r="A89" s="55" t="s">
        <v>205</v>
      </c>
      <c r="B89" s="33">
        <v>0</v>
      </c>
      <c r="C89" s="33">
        <v>-10064499885</v>
      </c>
      <c r="D89" s="33">
        <v>0</v>
      </c>
      <c r="E89" s="33">
        <f t="shared" si="2"/>
        <v>-10064499885</v>
      </c>
      <c r="F89" s="80">
        <f>(Table8[[#This Row],[PeriodAmountSum]]/Table8[[#This Row],[Column3]])*100</f>
        <v>-0.30137514151684847</v>
      </c>
      <c r="G89" s="33">
        <v>0</v>
      </c>
      <c r="H89" s="33">
        <v>0</v>
      </c>
      <c r="I89" s="33">
        <v>0</v>
      </c>
      <c r="J89" s="33">
        <f>Table8[[#This Row],[CurrentTotalCostProfitLoss]]+Table8[[#This Row],[CurrentChange]]+Table8[[#This Row],[CurrentPureDividendPayment]]</f>
        <v>0</v>
      </c>
      <c r="K89" s="83">
        <f>(Table8[[#This Row],[CurrentAmountSum]]/Table8[[#This Row],[Column2]])*100</f>
        <v>0</v>
      </c>
      <c r="L89" s="52">
        <v>-2353184645139</v>
      </c>
      <c r="M89" s="52">
        <v>3339525560849</v>
      </c>
    </row>
    <row r="90" spans="1:13" ht="23.1" customHeight="1">
      <c r="A90" s="55" t="s">
        <v>206</v>
      </c>
      <c r="B90" s="33">
        <v>0</v>
      </c>
      <c r="C90" s="33">
        <v>-18320911559</v>
      </c>
      <c r="D90" s="33">
        <v>0</v>
      </c>
      <c r="E90" s="33">
        <f t="shared" si="2"/>
        <v>-18320911559</v>
      </c>
      <c r="F90" s="80">
        <f>(Table8[[#This Row],[PeriodAmountSum]]/Table8[[#This Row],[Column3]])*100</f>
        <v>-0.54860821470527443</v>
      </c>
      <c r="G90" s="33"/>
      <c r="H90" s="33">
        <v>-24128233452</v>
      </c>
      <c r="I90" s="33">
        <v>0</v>
      </c>
      <c r="J90" s="33">
        <f>Table8[[#This Row],[CurrentTotalCostProfitLoss]]+Table8[[#This Row],[CurrentChange]]+Table8[[#This Row],[CurrentPureDividendPayment]]</f>
        <v>-24128233452</v>
      </c>
      <c r="K90" s="83">
        <f>(Table8[[#This Row],[CurrentAmountSum]]/Table8[[#This Row],[Column2]])*100</f>
        <v>1.0253438250943021</v>
      </c>
      <c r="L90" s="52">
        <v>-2353184645139</v>
      </c>
      <c r="M90" s="52">
        <v>3339525560849</v>
      </c>
    </row>
    <row r="91" spans="1:13" ht="23.1" customHeight="1">
      <c r="A91" s="55" t="s">
        <v>314</v>
      </c>
      <c r="B91" s="33">
        <v>0</v>
      </c>
      <c r="C91" s="33">
        <v>0</v>
      </c>
      <c r="D91" s="33">
        <v>0</v>
      </c>
      <c r="E91" s="33">
        <f t="shared" si="2"/>
        <v>0</v>
      </c>
      <c r="F91" s="80">
        <f>(Table8[[#This Row],[PeriodAmountSum]]/Table8[[#This Row],[Column3]])*100</f>
        <v>0</v>
      </c>
      <c r="G91" s="33"/>
      <c r="H91" s="33">
        <v>0</v>
      </c>
      <c r="I91" s="33">
        <v>0</v>
      </c>
      <c r="J91" s="33">
        <f>Table8[[#This Row],[CurrentTotalCostProfitLoss]]+Table8[[#This Row],[CurrentChange]]+Table8[[#This Row],[CurrentPureDividendPayment]]</f>
        <v>0</v>
      </c>
      <c r="K91" s="83">
        <f>(Table8[[#This Row],[CurrentAmountSum]]/Table8[[#This Row],[Column2]])*100</f>
        <v>0</v>
      </c>
      <c r="L91" s="52">
        <v>-2353184645139</v>
      </c>
      <c r="M91" s="52">
        <v>3339525560849</v>
      </c>
    </row>
    <row r="92" spans="1:13" ht="23.1" customHeight="1">
      <c r="A92" s="55" t="s">
        <v>315</v>
      </c>
      <c r="B92" s="33">
        <v>0</v>
      </c>
      <c r="C92" s="33">
        <v>0</v>
      </c>
      <c r="D92" s="33">
        <v>0</v>
      </c>
      <c r="E92" s="33">
        <f t="shared" si="2"/>
        <v>0</v>
      </c>
      <c r="F92" s="80">
        <f>(Table8[[#This Row],[PeriodAmountSum]]/Table8[[#This Row],[Column3]])*100</f>
        <v>0</v>
      </c>
      <c r="G92" s="33">
        <v>0</v>
      </c>
      <c r="H92" s="33">
        <v>0</v>
      </c>
      <c r="I92" s="33">
        <v>63788551</v>
      </c>
      <c r="J92" s="33">
        <f>Table8[[#This Row],[CurrentTotalCostProfitLoss]]+Table8[[#This Row],[CurrentChange]]+Table8[[#This Row],[CurrentPureDividendPayment]]</f>
        <v>63788551</v>
      </c>
      <c r="K92" s="83">
        <f>(Table8[[#This Row],[CurrentAmountSum]]/Table8[[#This Row],[Column2]])*100</f>
        <v>-2.7107329266221726E-3</v>
      </c>
      <c r="L92" s="52">
        <v>-2353184645139</v>
      </c>
      <c r="M92" s="52">
        <v>3339525560849</v>
      </c>
    </row>
    <row r="93" spans="1:13" ht="23.1" customHeight="1">
      <c r="A93" s="55" t="s">
        <v>207</v>
      </c>
      <c r="B93" s="33">
        <v>0</v>
      </c>
      <c r="C93" s="33">
        <v>-1104650111</v>
      </c>
      <c r="D93" s="33">
        <v>0</v>
      </c>
      <c r="E93" s="33">
        <f t="shared" si="2"/>
        <v>-1104650111</v>
      </c>
      <c r="F93" s="80">
        <f>(Table8[[#This Row],[PeriodAmountSum]]/Table8[[#This Row],[Column3]])*100</f>
        <v>-3.3078055276785104E-2</v>
      </c>
      <c r="G93" s="33">
        <v>0</v>
      </c>
      <c r="H93" s="33">
        <v>-2695293787</v>
      </c>
      <c r="I93" s="33">
        <v>0</v>
      </c>
      <c r="J93" s="33">
        <f>Table8[[#This Row],[CurrentTotalCostProfitLoss]]+Table8[[#This Row],[CurrentChange]]+Table8[[#This Row],[CurrentPureDividendPayment]]</f>
        <v>-2695293787</v>
      </c>
      <c r="K93" s="83">
        <f>(Table8[[#This Row],[CurrentAmountSum]]/Table8[[#This Row],[Column2]])*100</f>
        <v>0.11453813420751739</v>
      </c>
      <c r="L93" s="52">
        <v>-2353184645139</v>
      </c>
      <c r="M93" s="52">
        <v>3339525560849</v>
      </c>
    </row>
    <row r="94" spans="1:13" ht="23.1" customHeight="1">
      <c r="A94" s="55" t="s">
        <v>208</v>
      </c>
      <c r="B94" s="33">
        <v>0</v>
      </c>
      <c r="C94" s="33">
        <v>-12216520553</v>
      </c>
      <c r="D94" s="33">
        <v>0</v>
      </c>
      <c r="E94" s="33">
        <f t="shared" si="2"/>
        <v>-12216520553</v>
      </c>
      <c r="F94" s="80">
        <f>(Table8[[#This Row],[PeriodAmountSum]]/Table8[[#This Row],[Column3]])*100</f>
        <v>-0.36581605172365328</v>
      </c>
      <c r="G94" s="33">
        <v>0</v>
      </c>
      <c r="H94" s="33">
        <v>-64888493008</v>
      </c>
      <c r="I94" s="33">
        <v>0</v>
      </c>
      <c r="J94" s="33">
        <f>Table8[[#This Row],[CurrentTotalCostProfitLoss]]+Table8[[#This Row],[CurrentChange]]+Table8[[#This Row],[CurrentPureDividendPayment]]</f>
        <v>-64888493008</v>
      </c>
      <c r="K94" s="83">
        <f>(Table8[[#This Row],[CurrentAmountSum]]/Table8[[#This Row],[Column2]])*100</f>
        <v>2.7574756252995654</v>
      </c>
      <c r="L94" s="52">
        <v>-2353184645139</v>
      </c>
      <c r="M94" s="52">
        <v>3339525560849</v>
      </c>
    </row>
    <row r="95" spans="1:13" ht="23.1" customHeight="1">
      <c r="A95" s="55" t="s">
        <v>316</v>
      </c>
      <c r="B95" s="33">
        <v>0</v>
      </c>
      <c r="C95" s="33">
        <v>0</v>
      </c>
      <c r="D95" s="33">
        <v>0</v>
      </c>
      <c r="E95" s="33">
        <f t="shared" si="2"/>
        <v>0</v>
      </c>
      <c r="F95" s="80">
        <f>(Table8[[#This Row],[PeriodAmountSum]]/Table8[[#This Row],[Column3]])*100</f>
        <v>0</v>
      </c>
      <c r="G95" s="33">
        <v>0</v>
      </c>
      <c r="H95" s="33">
        <v>0</v>
      </c>
      <c r="I95" s="33">
        <v>164377806</v>
      </c>
      <c r="J95" s="33">
        <f>Table8[[#This Row],[CurrentTotalCostProfitLoss]]+Table8[[#This Row],[CurrentChange]]+Table8[[#This Row],[CurrentPureDividendPayment]]</f>
        <v>164377806</v>
      </c>
      <c r="K95" s="83">
        <f>(Table8[[#This Row],[CurrentAmountSum]]/Table8[[#This Row],[Column2]])*100</f>
        <v>-6.9853339532686947E-3</v>
      </c>
      <c r="L95" s="52">
        <v>-2353184645139</v>
      </c>
      <c r="M95" s="52">
        <v>3339525560849</v>
      </c>
    </row>
    <row r="96" spans="1:13" ht="23.1" customHeight="1">
      <c r="A96" s="55" t="s">
        <v>209</v>
      </c>
      <c r="B96" s="33">
        <v>0</v>
      </c>
      <c r="C96" s="33">
        <v>-3022248901</v>
      </c>
      <c r="D96" s="33">
        <v>0</v>
      </c>
      <c r="E96" s="33">
        <f t="shared" si="2"/>
        <v>-3022248901</v>
      </c>
      <c r="F96" s="80">
        <f>(Table8[[#This Row],[PeriodAmountSum]]/Table8[[#This Row],[Column3]])*100</f>
        <v>-9.0499349261805334E-2</v>
      </c>
      <c r="G96" s="33">
        <v>0</v>
      </c>
      <c r="H96" s="33">
        <v>-5547732117</v>
      </c>
      <c r="I96" s="33">
        <v>0</v>
      </c>
      <c r="J96" s="33">
        <f>Table8[[#This Row],[CurrentTotalCostProfitLoss]]+Table8[[#This Row],[CurrentChange]]+Table8[[#This Row],[CurrentPureDividendPayment]]</f>
        <v>-5547732117</v>
      </c>
      <c r="K96" s="83">
        <f>(Table8[[#This Row],[CurrentAmountSum]]/Table8[[#This Row],[Column2]])*100</f>
        <v>0.23575422049689185</v>
      </c>
      <c r="L96" s="52">
        <v>-2353184645139</v>
      </c>
      <c r="M96" s="52">
        <v>3339525560849</v>
      </c>
    </row>
    <row r="97" spans="1:13" ht="23.1" customHeight="1">
      <c r="A97" s="55" t="s">
        <v>210</v>
      </c>
      <c r="B97" s="33">
        <v>0</v>
      </c>
      <c r="C97" s="33">
        <v>-1868621188</v>
      </c>
      <c r="D97" s="33">
        <v>0</v>
      </c>
      <c r="E97" s="33">
        <f t="shared" si="2"/>
        <v>-1868621188</v>
      </c>
      <c r="F97" s="80">
        <f>(Table8[[#This Row],[PeriodAmountSum]]/Table8[[#This Row],[Column3]])*100</f>
        <v>-5.595469038796471E-2</v>
      </c>
      <c r="G97" s="33">
        <v>0</v>
      </c>
      <c r="H97" s="33">
        <v>-11128698696</v>
      </c>
      <c r="I97" s="33">
        <v>0</v>
      </c>
      <c r="J97" s="33">
        <f>Table8[[#This Row],[CurrentTotalCostProfitLoss]]+Table8[[#This Row],[CurrentChange]]+Table8[[#This Row],[CurrentPureDividendPayment]]</f>
        <v>-11128698696</v>
      </c>
      <c r="K97" s="83">
        <f>(Table8[[#This Row],[CurrentAmountSum]]/Table8[[#This Row],[Column2]])*100</f>
        <v>0.47292075949027962</v>
      </c>
      <c r="L97" s="52">
        <v>-2353184645139</v>
      </c>
      <c r="M97" s="52">
        <v>3339525560849</v>
      </c>
    </row>
    <row r="98" spans="1:13" ht="23.1" customHeight="1">
      <c r="A98" s="55" t="s">
        <v>317</v>
      </c>
      <c r="B98" s="33">
        <v>0</v>
      </c>
      <c r="C98" s="33">
        <v>0</v>
      </c>
      <c r="D98" s="33">
        <v>0</v>
      </c>
      <c r="E98" s="33">
        <f t="shared" si="2"/>
        <v>0</v>
      </c>
      <c r="F98" s="80">
        <f>(Table8[[#This Row],[PeriodAmountSum]]/Table8[[#This Row],[Column3]])*100</f>
        <v>0</v>
      </c>
      <c r="G98" s="33">
        <v>0</v>
      </c>
      <c r="H98" s="33">
        <v>0</v>
      </c>
      <c r="I98" s="33">
        <v>1954903</v>
      </c>
      <c r="J98" s="33">
        <f>Table8[[#This Row],[CurrentTotalCostProfitLoss]]+Table8[[#This Row],[CurrentChange]]+Table8[[#This Row],[CurrentPureDividendPayment]]</f>
        <v>1954903</v>
      </c>
      <c r="K98" s="83">
        <f>(Table8[[#This Row],[CurrentAmountSum]]/Table8[[#This Row],[Column2]])*100</f>
        <v>-8.3074781404776928E-5</v>
      </c>
      <c r="L98" s="52">
        <v>-2353184645139</v>
      </c>
      <c r="M98" s="52">
        <v>3339525560849</v>
      </c>
    </row>
    <row r="99" spans="1:13" ht="23.1" customHeight="1">
      <c r="A99" s="55" t="s">
        <v>211</v>
      </c>
      <c r="B99" s="33">
        <v>0</v>
      </c>
      <c r="C99" s="33">
        <v>-10341943986</v>
      </c>
      <c r="D99" s="33">
        <v>0</v>
      </c>
      <c r="E99" s="33">
        <f t="shared" si="2"/>
        <v>-10341943986</v>
      </c>
      <c r="F99" s="80">
        <f>(Table8[[#This Row],[PeriodAmountSum]]/Table8[[#This Row],[Column3]])*100</f>
        <v>-0.30968303124383906</v>
      </c>
      <c r="G99" s="33">
        <v>0</v>
      </c>
      <c r="H99" s="33">
        <v>-10341943986</v>
      </c>
      <c r="I99" s="33">
        <v>0</v>
      </c>
      <c r="J99" s="33">
        <f>Table8[[#This Row],[CurrentTotalCostProfitLoss]]+Table8[[#This Row],[CurrentChange]]+Table8[[#This Row],[CurrentPureDividendPayment]]</f>
        <v>-10341943986</v>
      </c>
      <c r="K99" s="83">
        <f>(Table8[[#This Row],[CurrentAmountSum]]/Table8[[#This Row],[Column2]])*100</f>
        <v>0.4394871438313806</v>
      </c>
      <c r="L99" s="52">
        <v>-2353184645139</v>
      </c>
      <c r="M99" s="52">
        <v>3339525560849</v>
      </c>
    </row>
    <row r="100" spans="1:13" ht="23.1" customHeight="1">
      <c r="A100" s="55" t="s">
        <v>212</v>
      </c>
      <c r="B100" s="33">
        <v>0</v>
      </c>
      <c r="C100" s="33">
        <v>-1726245618</v>
      </c>
      <c r="D100" s="33">
        <v>0</v>
      </c>
      <c r="E100" s="33">
        <f t="shared" si="2"/>
        <v>-1726245618</v>
      </c>
      <c r="F100" s="80">
        <f>(Table8[[#This Row],[PeriodAmountSum]]/Table8[[#This Row],[Column3]])*100</f>
        <v>-5.1691343172745187E-2</v>
      </c>
      <c r="G100" s="33">
        <v>0</v>
      </c>
      <c r="H100" s="33">
        <v>-1726245618</v>
      </c>
      <c r="I100" s="33">
        <v>0</v>
      </c>
      <c r="J100" s="33">
        <f>Table8[[#This Row],[CurrentTotalCostProfitLoss]]+Table8[[#This Row],[CurrentChange]]+Table8[[#This Row],[CurrentPureDividendPayment]]</f>
        <v>-1726245618</v>
      </c>
      <c r="K100" s="83">
        <f>(Table8[[#This Row],[CurrentAmountSum]]/Table8[[#This Row],[Column2]])*100</f>
        <v>7.3357848121520131E-2</v>
      </c>
      <c r="L100" s="52">
        <v>-2353184645139</v>
      </c>
      <c r="M100" s="52">
        <v>3339525560849</v>
      </c>
    </row>
    <row r="101" spans="1:13" ht="23.1" customHeight="1">
      <c r="A101" s="55" t="s">
        <v>213</v>
      </c>
      <c r="B101" s="33">
        <v>0</v>
      </c>
      <c r="C101" s="33">
        <v>-22609883804</v>
      </c>
      <c r="D101" s="33">
        <v>0</v>
      </c>
      <c r="E101" s="33">
        <f t="shared" si="2"/>
        <v>-22609883804</v>
      </c>
      <c r="F101" s="80">
        <f>(Table8[[#This Row],[PeriodAmountSum]]/Table8[[#This Row],[Column3]])*100</f>
        <v>-0.67703880063286426</v>
      </c>
      <c r="G101" s="33">
        <v>0</v>
      </c>
      <c r="H101" s="33">
        <v>-19958868886</v>
      </c>
      <c r="I101" s="33">
        <v>-1478176</v>
      </c>
      <c r="J101" s="33">
        <f>Table8[[#This Row],[CurrentTotalCostProfitLoss]]+Table8[[#This Row],[CurrentChange]]+Table8[[#This Row],[CurrentPureDividendPayment]]</f>
        <v>-19960347062</v>
      </c>
      <c r="K101" s="83">
        <f>(Table8[[#This Row],[CurrentAmountSum]]/Table8[[#This Row],[Column2]])*100</f>
        <v>0.84822698054027812</v>
      </c>
      <c r="L101" s="52">
        <v>-2353184645139</v>
      </c>
      <c r="M101" s="52">
        <v>3339525560849</v>
      </c>
    </row>
    <row r="102" spans="1:13" ht="23.1" customHeight="1" thickBot="1">
      <c r="A102" s="55" t="s">
        <v>101</v>
      </c>
      <c r="B102" s="35">
        <f t="shared" ref="B102:J102" si="3">SUM(B12:B101)</f>
        <v>156983568</v>
      </c>
      <c r="C102" s="35">
        <f t="shared" si="3"/>
        <v>3565089235176</v>
      </c>
      <c r="D102" s="35">
        <f t="shared" si="3"/>
        <v>-254097989467</v>
      </c>
      <c r="E102" s="35">
        <f t="shared" si="3"/>
        <v>3311148229277</v>
      </c>
      <c r="F102" s="86">
        <f t="shared" si="3"/>
        <v>99.150258590481215</v>
      </c>
      <c r="G102" s="35">
        <f t="shared" si="3"/>
        <v>38511558325</v>
      </c>
      <c r="H102" s="35">
        <f t="shared" si="3"/>
        <v>-3234044732645</v>
      </c>
      <c r="I102" s="35">
        <f t="shared" si="3"/>
        <v>701782148082</v>
      </c>
      <c r="J102" s="35">
        <f t="shared" si="3"/>
        <v>-2493751026238</v>
      </c>
      <c r="K102" s="85">
        <f>(Table8[[#This Row],[CurrentAmountSum]]/Table8[[#This Row],[Column2]])*100</f>
        <v>105.97345309852201</v>
      </c>
      <c r="L102" s="52">
        <v>-2353184645139</v>
      </c>
    </row>
    <row r="103" spans="1:13" ht="23.25" thickTop="1">
      <c r="B103" s="53">
        <f>B102-'درآمد سود سهام'!G20</f>
        <v>0</v>
      </c>
      <c r="C103" s="53">
        <f>SUM(C12:C102)</f>
        <v>7130178470352</v>
      </c>
      <c r="E103" s="53">
        <f>SUM(E12:E102)</f>
        <v>6622296458554</v>
      </c>
      <c r="G103" s="53">
        <f>G102-'درآمد سود سهام'!J20</f>
        <v>0</v>
      </c>
      <c r="L103" s="62"/>
      <c r="M103" s="62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7" orientation="landscape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view="pageBreakPreview" zoomScale="106" zoomScaleNormal="100" zoomScaleSheetLayoutView="106" workbookViewId="0">
      <selection activeCell="E39" sqref="E39"/>
    </sheetView>
  </sheetViews>
  <sheetFormatPr defaultRowHeight="22.5"/>
  <cols>
    <col min="1" max="1" width="33.28515625" style="53" bestFit="1" customWidth="1"/>
    <col min="2" max="2" width="22.42578125" style="53" bestFit="1" customWidth="1"/>
    <col min="3" max="3" width="14.5703125" style="53" bestFit="1" customWidth="1"/>
    <col min="4" max="4" width="21" style="53" bestFit="1" customWidth="1"/>
    <col min="5" max="5" width="16.28515625" style="53" bestFit="1" customWidth="1"/>
    <col min="6" max="6" width="23.28515625" style="53" bestFit="1" customWidth="1"/>
    <col min="7" max="7" width="14.28515625" style="53" bestFit="1" customWidth="1"/>
    <col min="8" max="8" width="21.85546875" style="53" bestFit="1" customWidth="1"/>
    <col min="9" max="9" width="17.140625" style="53" bestFit="1" customWidth="1"/>
    <col min="10" max="10" width="9.140625" style="52" customWidth="1"/>
    <col min="11" max="16384" width="9.140625" style="52"/>
  </cols>
  <sheetData>
    <row r="1" spans="1:9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9">
      <c r="A2" s="128" t="s">
        <v>260</v>
      </c>
      <c r="B2" s="128"/>
      <c r="C2" s="128"/>
      <c r="D2" s="128"/>
      <c r="E2" s="128"/>
      <c r="F2" s="128"/>
      <c r="G2" s="128"/>
      <c r="H2" s="128"/>
      <c r="I2" s="128"/>
    </row>
    <row r="3" spans="1:9">
      <c r="A3" s="128" t="s">
        <v>261</v>
      </c>
      <c r="B3" s="128"/>
      <c r="C3" s="128"/>
      <c r="D3" s="128"/>
      <c r="E3" s="128"/>
      <c r="F3" s="128"/>
      <c r="G3" s="128"/>
      <c r="H3" s="128"/>
      <c r="I3" s="128"/>
    </row>
    <row r="4" spans="1:9">
      <c r="A4" s="132" t="s">
        <v>262</v>
      </c>
      <c r="B4" s="132"/>
      <c r="C4" s="132"/>
      <c r="D4" s="132"/>
      <c r="E4" s="132"/>
      <c r="F4" s="132"/>
      <c r="G4" s="132"/>
      <c r="H4" s="132"/>
      <c r="I4" s="132"/>
    </row>
    <row r="6" spans="1:9" ht="19.5" customHeight="1" thickBot="1">
      <c r="A6" s="63"/>
      <c r="B6" s="131" t="s">
        <v>406</v>
      </c>
      <c r="C6" s="131"/>
      <c r="D6" s="131"/>
      <c r="E6" s="131"/>
      <c r="F6" s="131" t="s">
        <v>263</v>
      </c>
      <c r="G6" s="131"/>
      <c r="H6" s="131"/>
      <c r="I6" s="131"/>
    </row>
    <row r="7" spans="1:9" ht="20.25" customHeight="1">
      <c r="A7" s="133"/>
      <c r="B7" s="129" t="s">
        <v>264</v>
      </c>
      <c r="C7" s="129" t="s">
        <v>265</v>
      </c>
      <c r="D7" s="129" t="s">
        <v>266</v>
      </c>
      <c r="E7" s="129" t="s">
        <v>101</v>
      </c>
      <c r="F7" s="129" t="s">
        <v>264</v>
      </c>
      <c r="G7" s="129" t="s">
        <v>265</v>
      </c>
      <c r="H7" s="129" t="s">
        <v>266</v>
      </c>
      <c r="I7" s="129" t="s">
        <v>101</v>
      </c>
    </row>
    <row r="8" spans="1:9" ht="20.25" customHeight="1" thickBot="1">
      <c r="A8" s="134"/>
      <c r="B8" s="131"/>
      <c r="C8" s="131"/>
      <c r="D8" s="131"/>
      <c r="E8" s="131"/>
      <c r="F8" s="131"/>
      <c r="G8" s="131"/>
      <c r="H8" s="131"/>
      <c r="I8" s="131"/>
    </row>
    <row r="9" spans="1:9" ht="22.5" hidden="1" customHeight="1">
      <c r="A9" s="55" t="s">
        <v>116</v>
      </c>
      <c r="B9" s="33" t="s">
        <v>267</v>
      </c>
      <c r="C9" s="33" t="s">
        <v>268</v>
      </c>
      <c r="D9" s="33" t="s">
        <v>269</v>
      </c>
      <c r="E9" s="33" t="s">
        <v>270</v>
      </c>
      <c r="F9" s="33" t="s">
        <v>271</v>
      </c>
      <c r="G9" s="33" t="s">
        <v>272</v>
      </c>
      <c r="H9" s="33" t="s">
        <v>273</v>
      </c>
      <c r="I9" s="33" t="s">
        <v>274</v>
      </c>
    </row>
    <row r="10" spans="1:9" ht="23.1" customHeight="1">
      <c r="A10" s="55" t="s">
        <v>275</v>
      </c>
      <c r="B10" s="33">
        <v>0</v>
      </c>
      <c r="C10" s="33">
        <v>0</v>
      </c>
      <c r="D10" s="33">
        <v>0</v>
      </c>
      <c r="E10" s="33">
        <f>Table9[[#This Row],[PeriodTotalCostProfitLoss]]+Table9[[#This Row],[PeriodChange]]+Table9[[#This Row],[PeriodPureInterestPayment]]</f>
        <v>0</v>
      </c>
      <c r="F10" s="33">
        <v>0</v>
      </c>
      <c r="G10" s="33">
        <v>0</v>
      </c>
      <c r="H10" s="33">
        <v>357399910</v>
      </c>
      <c r="I10" s="33">
        <f>Table9[[#This Row],[CurrentTotalCostProfitLoss]]+Table9[[#This Row],[CurrentChange]]+Table9[[#This Row],[CurrentPureInterestPayment]]</f>
        <v>357399910</v>
      </c>
    </row>
    <row r="11" spans="1:9" ht="23.1" customHeight="1">
      <c r="A11" s="55" t="s">
        <v>242</v>
      </c>
      <c r="B11" s="33">
        <v>4352244155</v>
      </c>
      <c r="C11" s="33">
        <v>105500000</v>
      </c>
      <c r="D11" s="33">
        <v>-105500000</v>
      </c>
      <c r="E11" s="33">
        <f>Table9[[#This Row],[PeriodTotalCostProfitLoss]]+Table9[[#This Row],[PeriodChange]]+Table9[[#This Row],[PeriodPureInterestPayment]]</f>
        <v>4352244155</v>
      </c>
      <c r="F11" s="33">
        <v>13224593350</v>
      </c>
      <c r="G11" s="33">
        <v>628217750</v>
      </c>
      <c r="H11" s="33">
        <v>-850000000</v>
      </c>
      <c r="I11" s="33">
        <f>Table9[[#This Row],[CurrentTotalCostProfitLoss]]+Table9[[#This Row],[CurrentChange]]+Table9[[#This Row],[CurrentPureInterestPayment]]</f>
        <v>13002811100</v>
      </c>
    </row>
    <row r="12" spans="1:9" ht="23.1" customHeight="1">
      <c r="A12" s="55" t="s">
        <v>251</v>
      </c>
      <c r="B12" s="33">
        <v>4235569797</v>
      </c>
      <c r="C12" s="33">
        <v>-1875732276</v>
      </c>
      <c r="D12" s="33">
        <v>4985476082</v>
      </c>
      <c r="E12" s="33">
        <f>Table9[[#This Row],[PeriodTotalCostProfitLoss]]+Table9[[#This Row],[PeriodChange]]+Table9[[#This Row],[PeriodPureInterestPayment]]</f>
        <v>7345313603</v>
      </c>
      <c r="F12" s="33">
        <v>9220638340</v>
      </c>
      <c r="G12" s="33">
        <v>11603311416</v>
      </c>
      <c r="H12" s="33">
        <v>7839025390</v>
      </c>
      <c r="I12" s="33">
        <f>Table9[[#This Row],[CurrentTotalCostProfitLoss]]+Table9[[#This Row],[CurrentChange]]+Table9[[#This Row],[CurrentPureInterestPayment]]</f>
        <v>28662975146</v>
      </c>
    </row>
    <row r="13" spans="1:9" ht="23.1" customHeight="1">
      <c r="A13" s="55" t="s">
        <v>276</v>
      </c>
      <c r="B13" s="33">
        <v>0</v>
      </c>
      <c r="C13" s="33">
        <v>0</v>
      </c>
      <c r="D13" s="33">
        <v>0</v>
      </c>
      <c r="E13" s="33">
        <f>Table9[[#This Row],[PeriodTotalCostProfitLoss]]+Table9[[#This Row],[PeriodChange]]+Table9[[#This Row],[PeriodPureInterestPayment]]</f>
        <v>0</v>
      </c>
      <c r="F13" s="33">
        <v>0</v>
      </c>
      <c r="G13" s="33">
        <v>0</v>
      </c>
      <c r="H13" s="33">
        <v>3440020751</v>
      </c>
      <c r="I13" s="33">
        <f>Table9[[#This Row],[CurrentTotalCostProfitLoss]]+Table9[[#This Row],[CurrentChange]]+Table9[[#This Row],[CurrentPureInterestPayment]]</f>
        <v>3440020751</v>
      </c>
    </row>
    <row r="14" spans="1:9" ht="23.1" customHeight="1">
      <c r="A14" s="55" t="s">
        <v>277</v>
      </c>
      <c r="B14" s="33">
        <v>0</v>
      </c>
      <c r="C14" s="33">
        <v>0</v>
      </c>
      <c r="D14" s="33">
        <v>0</v>
      </c>
      <c r="E14" s="33">
        <f>Table9[[#This Row],[PeriodTotalCostProfitLoss]]+Table9[[#This Row],[PeriodChange]]+Table9[[#This Row],[PeriodPureInterestPayment]]</f>
        <v>0</v>
      </c>
      <c r="F14" s="33">
        <v>679889226</v>
      </c>
      <c r="G14" s="33">
        <v>0</v>
      </c>
      <c r="H14" s="33">
        <v>2892919263</v>
      </c>
      <c r="I14" s="33">
        <f>Table9[[#This Row],[CurrentTotalCostProfitLoss]]+Table9[[#This Row],[CurrentChange]]+Table9[[#This Row],[CurrentPureInterestPayment]]</f>
        <v>3572808489</v>
      </c>
    </row>
    <row r="15" spans="1:9" ht="23.1" customHeight="1">
      <c r="A15" s="55" t="s">
        <v>278</v>
      </c>
      <c r="B15" s="33">
        <v>0</v>
      </c>
      <c r="C15" s="33">
        <v>0</v>
      </c>
      <c r="D15" s="33">
        <v>0</v>
      </c>
      <c r="E15" s="33">
        <f>Table9[[#This Row],[PeriodTotalCostProfitLoss]]+Table9[[#This Row],[PeriodChange]]+Table9[[#This Row],[PeriodPureInterestPayment]]</f>
        <v>0</v>
      </c>
      <c r="F15" s="33">
        <v>0</v>
      </c>
      <c r="G15" s="33">
        <v>0</v>
      </c>
      <c r="H15" s="33">
        <v>6860159950</v>
      </c>
      <c r="I15" s="33">
        <f>Table9[[#This Row],[CurrentTotalCostProfitLoss]]+Table9[[#This Row],[CurrentChange]]+Table9[[#This Row],[CurrentPureInterestPayment]]</f>
        <v>6860159950</v>
      </c>
    </row>
    <row r="16" spans="1:9" ht="23.1" customHeight="1">
      <c r="A16" s="55" t="s">
        <v>248</v>
      </c>
      <c r="B16" s="33">
        <v>0</v>
      </c>
      <c r="C16" s="33">
        <v>-572727129</v>
      </c>
      <c r="D16" s="33">
        <v>0</v>
      </c>
      <c r="E16" s="33">
        <f>Table9[[#This Row],[PeriodTotalCostProfitLoss]]+Table9[[#This Row],[PeriodChange]]+Table9[[#This Row],[PeriodPureInterestPayment]]</f>
        <v>-572727129</v>
      </c>
      <c r="F16" s="33">
        <v>0</v>
      </c>
      <c r="G16" s="33">
        <v>1023352729</v>
      </c>
      <c r="H16" s="33">
        <v>-78195223</v>
      </c>
      <c r="I16" s="33">
        <f>Table9[[#This Row],[CurrentTotalCostProfitLoss]]+Table9[[#This Row],[CurrentChange]]+Table9[[#This Row],[CurrentPureInterestPayment]]</f>
        <v>945157506</v>
      </c>
    </row>
    <row r="17" spans="1:9" ht="23.1" customHeight="1">
      <c r="A17" s="55" t="s">
        <v>279</v>
      </c>
      <c r="B17" s="33">
        <v>0</v>
      </c>
      <c r="C17" s="33">
        <v>0</v>
      </c>
      <c r="D17" s="33">
        <v>0</v>
      </c>
      <c r="E17" s="33">
        <f>Table9[[#This Row],[PeriodTotalCostProfitLoss]]+Table9[[#This Row],[PeriodChange]]+Table9[[#This Row],[PeriodPureInterestPayment]]</f>
        <v>0</v>
      </c>
      <c r="F17" s="33">
        <v>0</v>
      </c>
      <c r="G17" s="33">
        <v>0</v>
      </c>
      <c r="H17" s="33">
        <v>273552552</v>
      </c>
      <c r="I17" s="33">
        <f>Table9[[#This Row],[CurrentTotalCostProfitLoss]]+Table9[[#This Row],[CurrentChange]]+Table9[[#This Row],[CurrentPureInterestPayment]]</f>
        <v>273552552</v>
      </c>
    </row>
    <row r="18" spans="1:9" ht="23.1" customHeight="1">
      <c r="A18" s="55" t="s">
        <v>280</v>
      </c>
      <c r="B18" s="33">
        <v>0</v>
      </c>
      <c r="C18" s="33">
        <v>0</v>
      </c>
      <c r="D18" s="33">
        <v>0</v>
      </c>
      <c r="E18" s="33">
        <f>Table9[[#This Row],[PeriodTotalCostProfitLoss]]+Table9[[#This Row],[PeriodChange]]+Table9[[#This Row],[PeriodPureInterestPayment]]</f>
        <v>0</v>
      </c>
      <c r="F18" s="33">
        <v>0</v>
      </c>
      <c r="G18" s="33">
        <v>0</v>
      </c>
      <c r="H18" s="33">
        <v>11128474250</v>
      </c>
      <c r="I18" s="33">
        <f>Table9[[#This Row],[CurrentTotalCostProfitLoss]]+Table9[[#This Row],[CurrentChange]]+Table9[[#This Row],[CurrentPureInterestPayment]]</f>
        <v>11128474250</v>
      </c>
    </row>
    <row r="19" spans="1:9" ht="23.1" customHeight="1">
      <c r="A19" s="55" t="s">
        <v>281</v>
      </c>
      <c r="B19" s="33">
        <v>0</v>
      </c>
      <c r="C19" s="33">
        <v>0</v>
      </c>
      <c r="D19" s="33">
        <v>0</v>
      </c>
      <c r="E19" s="33">
        <f>Table9[[#This Row],[PeriodTotalCostProfitLoss]]+Table9[[#This Row],[PeriodChange]]+Table9[[#This Row],[PeriodPureInterestPayment]]</f>
        <v>0</v>
      </c>
      <c r="F19" s="33">
        <v>159836869</v>
      </c>
      <c r="G19" s="33">
        <v>0</v>
      </c>
      <c r="H19" s="33">
        <v>58957225</v>
      </c>
      <c r="I19" s="33">
        <f>Table9[[#This Row],[CurrentTotalCostProfitLoss]]+Table9[[#This Row],[CurrentChange]]+Table9[[#This Row],[CurrentPureInterestPayment]]</f>
        <v>218794094</v>
      </c>
    </row>
    <row r="20" spans="1:9" ht="23.1" customHeight="1">
      <c r="A20" s="55" t="s">
        <v>282</v>
      </c>
      <c r="B20" s="33">
        <v>0</v>
      </c>
      <c r="C20" s="33">
        <v>0</v>
      </c>
      <c r="D20" s="33">
        <v>0</v>
      </c>
      <c r="E20" s="33">
        <f>Table9[[#This Row],[PeriodTotalCostProfitLoss]]+Table9[[#This Row],[PeriodChange]]+Table9[[#This Row],[PeriodPureInterestPayment]]</f>
        <v>0</v>
      </c>
      <c r="F20" s="33">
        <v>1694168591</v>
      </c>
      <c r="G20" s="33">
        <v>0</v>
      </c>
      <c r="H20" s="33">
        <v>1084753980</v>
      </c>
      <c r="I20" s="33">
        <f>Table9[[#This Row],[CurrentTotalCostProfitLoss]]+Table9[[#This Row],[CurrentChange]]+Table9[[#This Row],[CurrentPureInterestPayment]]</f>
        <v>2778922571</v>
      </c>
    </row>
    <row r="21" spans="1:9" ht="23.1" customHeight="1">
      <c r="A21" s="55" t="s">
        <v>283</v>
      </c>
      <c r="B21" s="33">
        <v>0</v>
      </c>
      <c r="C21" s="33">
        <v>0</v>
      </c>
      <c r="D21" s="33">
        <v>0</v>
      </c>
      <c r="E21" s="33">
        <f>Table9[[#This Row],[PeriodTotalCostProfitLoss]]+Table9[[#This Row],[PeriodChange]]+Table9[[#This Row],[PeriodPureInterestPayment]]</f>
        <v>0</v>
      </c>
      <c r="F21" s="33">
        <v>0</v>
      </c>
      <c r="G21" s="33">
        <v>0</v>
      </c>
      <c r="H21" s="33">
        <v>2189954844</v>
      </c>
      <c r="I21" s="33">
        <f>Table9[[#This Row],[CurrentTotalCostProfitLoss]]+Table9[[#This Row],[CurrentChange]]+Table9[[#This Row],[CurrentPureInterestPayment]]</f>
        <v>2189954844</v>
      </c>
    </row>
    <row r="22" spans="1:9" ht="23.1" customHeight="1">
      <c r="A22" s="55" t="s">
        <v>284</v>
      </c>
      <c r="B22" s="33">
        <v>0</v>
      </c>
      <c r="C22" s="33">
        <v>0</v>
      </c>
      <c r="D22" s="33">
        <v>0</v>
      </c>
      <c r="E22" s="33">
        <f>Table9[[#This Row],[PeriodTotalCostProfitLoss]]+Table9[[#This Row],[PeriodChange]]+Table9[[#This Row],[PeriodPureInterestPayment]]</f>
        <v>0</v>
      </c>
      <c r="F22" s="33">
        <v>0</v>
      </c>
      <c r="G22" s="33">
        <v>0</v>
      </c>
      <c r="H22" s="33">
        <v>-202339653</v>
      </c>
      <c r="I22" s="33">
        <f>Table9[[#This Row],[CurrentTotalCostProfitLoss]]+Table9[[#This Row],[CurrentChange]]+Table9[[#This Row],[CurrentPureInterestPayment]]</f>
        <v>-202339653</v>
      </c>
    </row>
    <row r="23" spans="1:9" ht="23.1" customHeight="1">
      <c r="A23" s="55" t="s">
        <v>245</v>
      </c>
      <c r="B23" s="33">
        <v>0</v>
      </c>
      <c r="C23" s="33">
        <v>-45874099</v>
      </c>
      <c r="D23" s="33">
        <v>0</v>
      </c>
      <c r="E23" s="33">
        <f>Table9[[#This Row],[PeriodTotalCostProfitLoss]]+Table9[[#This Row],[PeriodChange]]+Table9[[#This Row],[PeriodPureInterestPayment]]</f>
        <v>-45874099</v>
      </c>
      <c r="F23" s="33">
        <v>0</v>
      </c>
      <c r="G23" s="33">
        <v>111876227</v>
      </c>
      <c r="H23" s="33">
        <v>-762659163</v>
      </c>
      <c r="I23" s="33">
        <f>Table9[[#This Row],[CurrentTotalCostProfitLoss]]+Table9[[#This Row],[CurrentChange]]+Table9[[#This Row],[CurrentPureInterestPayment]]</f>
        <v>-650782936</v>
      </c>
    </row>
    <row r="24" spans="1:9" ht="23.1" customHeight="1">
      <c r="A24" s="55" t="s">
        <v>285</v>
      </c>
      <c r="B24" s="33">
        <v>0</v>
      </c>
      <c r="C24" s="33">
        <v>0</v>
      </c>
      <c r="D24" s="33">
        <v>0</v>
      </c>
      <c r="E24" s="33">
        <f>Table9[[#This Row],[PeriodTotalCostProfitLoss]]+Table9[[#This Row],[PeriodChange]]+Table9[[#This Row],[PeriodPureInterestPayment]]</f>
        <v>0</v>
      </c>
      <c r="F24" s="33">
        <v>0</v>
      </c>
      <c r="G24" s="33">
        <v>0</v>
      </c>
      <c r="H24" s="33">
        <v>478306418</v>
      </c>
      <c r="I24" s="33">
        <f>Table9[[#This Row],[CurrentTotalCostProfitLoss]]+Table9[[#This Row],[CurrentChange]]+Table9[[#This Row],[CurrentPureInterestPayment]]</f>
        <v>478306418</v>
      </c>
    </row>
    <row r="25" spans="1:9" ht="23.1" customHeight="1">
      <c r="A25" s="55" t="s">
        <v>237</v>
      </c>
      <c r="B25" s="33">
        <v>0</v>
      </c>
      <c r="C25" s="33">
        <v>-138633617</v>
      </c>
      <c r="D25" s="33">
        <v>0</v>
      </c>
      <c r="E25" s="33">
        <f>Table9[[#This Row],[PeriodTotalCostProfitLoss]]+Table9[[#This Row],[PeriodChange]]+Table9[[#This Row],[PeriodPureInterestPayment]]</f>
        <v>-138633617</v>
      </c>
      <c r="F25" s="33">
        <v>0</v>
      </c>
      <c r="G25" s="33">
        <v>731273484</v>
      </c>
      <c r="H25" s="33">
        <v>-4260361122</v>
      </c>
      <c r="I25" s="33">
        <f>Table9[[#This Row],[CurrentTotalCostProfitLoss]]+Table9[[#This Row],[CurrentChange]]+Table9[[#This Row],[CurrentPureInterestPayment]]</f>
        <v>-3529087638</v>
      </c>
    </row>
    <row r="26" spans="1:9" ht="23.1" customHeight="1">
      <c r="A26" s="55" t="s">
        <v>286</v>
      </c>
      <c r="B26" s="33">
        <v>0</v>
      </c>
      <c r="C26" s="33">
        <v>0</v>
      </c>
      <c r="D26" s="33">
        <v>0</v>
      </c>
      <c r="E26" s="33">
        <f>Table9[[#This Row],[PeriodTotalCostProfitLoss]]+Table9[[#This Row],[PeriodChange]]+Table9[[#This Row],[PeriodPureInterestPayment]]</f>
        <v>0</v>
      </c>
      <c r="F26" s="33">
        <v>0</v>
      </c>
      <c r="G26" s="33">
        <v>0</v>
      </c>
      <c r="H26" s="33">
        <v>6010437302</v>
      </c>
      <c r="I26" s="33">
        <f>Table9[[#This Row],[CurrentTotalCostProfitLoss]]+Table9[[#This Row],[CurrentChange]]+Table9[[#This Row],[CurrentPureInterestPayment]]</f>
        <v>6010437302</v>
      </c>
    </row>
    <row r="27" spans="1:9" ht="23.1" customHeight="1">
      <c r="A27" s="55" t="s">
        <v>287</v>
      </c>
      <c r="B27" s="33">
        <v>0</v>
      </c>
      <c r="C27" s="33">
        <v>0</v>
      </c>
      <c r="D27" s="33">
        <v>0</v>
      </c>
      <c r="E27" s="33">
        <f>Table9[[#This Row],[PeriodTotalCostProfitLoss]]+Table9[[#This Row],[PeriodChange]]+Table9[[#This Row],[PeriodPureInterestPayment]]</f>
        <v>0</v>
      </c>
      <c r="F27" s="33">
        <v>0</v>
      </c>
      <c r="G27" s="33">
        <v>0</v>
      </c>
      <c r="H27" s="33">
        <v>10092019969</v>
      </c>
      <c r="I27" s="33">
        <f>Table9[[#This Row],[CurrentTotalCostProfitLoss]]+Table9[[#This Row],[CurrentChange]]+Table9[[#This Row],[CurrentPureInterestPayment]]</f>
        <v>10092019969</v>
      </c>
    </row>
    <row r="28" spans="1:9" ht="23.1" customHeight="1">
      <c r="A28" s="55" t="s">
        <v>288</v>
      </c>
      <c r="B28" s="33">
        <v>0</v>
      </c>
      <c r="C28" s="33">
        <v>0</v>
      </c>
      <c r="D28" s="33">
        <v>0</v>
      </c>
      <c r="E28" s="33">
        <f>Table9[[#This Row],[PeriodTotalCostProfitLoss]]+Table9[[#This Row],[PeriodChange]]+Table9[[#This Row],[PeriodPureInterestPayment]]</f>
        <v>0</v>
      </c>
      <c r="F28" s="33">
        <v>691232880</v>
      </c>
      <c r="G28" s="33">
        <v>0</v>
      </c>
      <c r="H28" s="33">
        <v>591331971</v>
      </c>
      <c r="I28" s="33">
        <f>Table9[[#This Row],[CurrentTotalCostProfitLoss]]+Table9[[#This Row],[CurrentChange]]+Table9[[#This Row],[CurrentPureInterestPayment]]</f>
        <v>1282564851</v>
      </c>
    </row>
    <row r="29" spans="1:9" ht="23.1" customHeight="1">
      <c r="A29" s="55" t="s">
        <v>289</v>
      </c>
      <c r="B29" s="33">
        <v>0</v>
      </c>
      <c r="C29" s="33">
        <v>0</v>
      </c>
      <c r="D29" s="33">
        <v>0</v>
      </c>
      <c r="E29" s="33">
        <f>Table9[[#This Row],[PeriodTotalCostProfitLoss]]+Table9[[#This Row],[PeriodChange]]+Table9[[#This Row],[PeriodPureInterestPayment]]</f>
        <v>0</v>
      </c>
      <c r="F29" s="33">
        <v>0</v>
      </c>
      <c r="G29" s="33">
        <v>0</v>
      </c>
      <c r="H29" s="33">
        <v>4235796438</v>
      </c>
      <c r="I29" s="33">
        <f>Table9[[#This Row],[CurrentTotalCostProfitLoss]]+Table9[[#This Row],[CurrentChange]]+Table9[[#This Row],[CurrentPureInterestPayment]]</f>
        <v>4235796438</v>
      </c>
    </row>
    <row r="30" spans="1:9" ht="23.1" customHeight="1">
      <c r="A30" s="55" t="s">
        <v>240</v>
      </c>
      <c r="B30" s="33">
        <v>0</v>
      </c>
      <c r="C30" s="33">
        <v>91122409</v>
      </c>
      <c r="D30" s="33">
        <v>0</v>
      </c>
      <c r="E30" s="33">
        <f>Table9[[#This Row],[PeriodTotalCostProfitLoss]]+Table9[[#This Row],[PeriodChange]]+Table9[[#This Row],[PeriodPureInterestPayment]]</f>
        <v>91122409</v>
      </c>
      <c r="F30" s="33">
        <v>0</v>
      </c>
      <c r="G30" s="33">
        <v>447750420</v>
      </c>
      <c r="H30" s="33">
        <v>877347840</v>
      </c>
      <c r="I30" s="33">
        <f>Table9[[#This Row],[CurrentTotalCostProfitLoss]]+Table9[[#This Row],[CurrentChange]]+Table9[[#This Row],[CurrentPureInterestPayment]]</f>
        <v>1325098260</v>
      </c>
    </row>
    <row r="31" spans="1:9" ht="23.1" customHeight="1">
      <c r="A31" s="55" t="s">
        <v>290</v>
      </c>
      <c r="B31" s="33">
        <v>0</v>
      </c>
      <c r="C31" s="33">
        <v>0</v>
      </c>
      <c r="D31" s="33">
        <v>0</v>
      </c>
      <c r="E31" s="33">
        <f>Table9[[#This Row],[PeriodTotalCostProfitLoss]]+Table9[[#This Row],[PeriodChange]]+Table9[[#This Row],[PeriodPureInterestPayment]]</f>
        <v>0</v>
      </c>
      <c r="F31" s="33">
        <v>0</v>
      </c>
      <c r="G31" s="33">
        <v>0</v>
      </c>
      <c r="H31" s="33">
        <v>173777981</v>
      </c>
      <c r="I31" s="33">
        <f>Table9[[#This Row],[CurrentTotalCostProfitLoss]]+Table9[[#This Row],[CurrentChange]]+Table9[[#This Row],[CurrentPureInterestPayment]]</f>
        <v>173777981</v>
      </c>
    </row>
    <row r="32" spans="1:9" ht="23.1" customHeight="1">
      <c r="A32" s="55" t="s">
        <v>291</v>
      </c>
      <c r="B32" s="33">
        <v>0</v>
      </c>
      <c r="C32" s="33">
        <v>0</v>
      </c>
      <c r="D32" s="33">
        <v>0</v>
      </c>
      <c r="E32" s="33">
        <f>Table9[[#This Row],[PeriodTotalCostProfitLoss]]+Table9[[#This Row],[PeriodChange]]+Table9[[#This Row],[PeriodPureInterestPayment]]</f>
        <v>0</v>
      </c>
      <c r="F32" s="33">
        <v>0</v>
      </c>
      <c r="G32" s="33">
        <v>0</v>
      </c>
      <c r="H32" s="33">
        <v>222321239</v>
      </c>
      <c r="I32" s="33">
        <f>Table9[[#This Row],[CurrentTotalCostProfitLoss]]+Table9[[#This Row],[CurrentChange]]+Table9[[#This Row],[CurrentPureInterestPayment]]</f>
        <v>222321239</v>
      </c>
    </row>
    <row r="33" spans="1:9" ht="23.1" customHeight="1">
      <c r="A33" s="55" t="s">
        <v>254</v>
      </c>
      <c r="B33" s="33">
        <v>3681431011</v>
      </c>
      <c r="C33" s="33">
        <v>316777778</v>
      </c>
      <c r="D33" s="33">
        <v>-316777778</v>
      </c>
      <c r="E33" s="33">
        <f>Table9[[#This Row],[PeriodTotalCostProfitLoss]]+Table9[[#This Row],[PeriodChange]]+Table9[[#This Row],[PeriodPureInterestPayment]]</f>
        <v>3681431011</v>
      </c>
      <c r="F33" s="33">
        <v>7903288933</v>
      </c>
      <c r="G33" s="33">
        <v>-259222222</v>
      </c>
      <c r="H33" s="33">
        <v>-461777778</v>
      </c>
      <c r="I33" s="33">
        <f>Table9[[#This Row],[CurrentTotalCostProfitLoss]]+Table9[[#This Row],[CurrentChange]]+Table9[[#This Row],[CurrentPureInterestPayment]]</f>
        <v>7182288933</v>
      </c>
    </row>
    <row r="34" spans="1:9" ht="23.1" customHeight="1">
      <c r="A34" s="55" t="s">
        <v>292</v>
      </c>
      <c r="B34" s="33">
        <v>0</v>
      </c>
      <c r="C34" s="33">
        <v>0</v>
      </c>
      <c r="D34" s="33">
        <v>0</v>
      </c>
      <c r="E34" s="33">
        <f>Table9[[#This Row],[PeriodTotalCostProfitLoss]]+Table9[[#This Row],[PeriodChange]]+Table9[[#This Row],[PeriodPureInterestPayment]]</f>
        <v>0</v>
      </c>
      <c r="F34" s="33">
        <v>0</v>
      </c>
      <c r="G34" s="33">
        <v>0</v>
      </c>
      <c r="H34" s="33">
        <v>2502792615</v>
      </c>
      <c r="I34" s="33">
        <f>Table9[[#This Row],[CurrentTotalCostProfitLoss]]+Table9[[#This Row],[CurrentChange]]+Table9[[#This Row],[CurrentPureInterestPayment]]</f>
        <v>2502792615</v>
      </c>
    </row>
    <row r="35" spans="1:9" ht="23.1" customHeight="1">
      <c r="A35" s="55" t="s">
        <v>293</v>
      </c>
      <c r="B35" s="33">
        <v>0</v>
      </c>
      <c r="C35" s="33">
        <v>0</v>
      </c>
      <c r="D35" s="33">
        <v>0</v>
      </c>
      <c r="E35" s="33">
        <f>Table9[[#This Row],[PeriodTotalCostProfitLoss]]+Table9[[#This Row],[PeriodChange]]+Table9[[#This Row],[PeriodPureInterestPayment]]</f>
        <v>0</v>
      </c>
      <c r="F35" s="33">
        <v>0</v>
      </c>
      <c r="G35" s="33">
        <v>0</v>
      </c>
      <c r="H35" s="33">
        <v>-1534455476</v>
      </c>
      <c r="I35" s="33">
        <f>Table9[[#This Row],[CurrentTotalCostProfitLoss]]+Table9[[#This Row],[CurrentChange]]+Table9[[#This Row],[CurrentPureInterestPayment]]</f>
        <v>-1534455476</v>
      </c>
    </row>
    <row r="36" spans="1:9" ht="23.1" customHeight="1">
      <c r="A36" s="55" t="s">
        <v>230</v>
      </c>
      <c r="B36" s="33">
        <v>293455100</v>
      </c>
      <c r="C36" s="33">
        <v>-362500000</v>
      </c>
      <c r="D36" s="33">
        <v>0</v>
      </c>
      <c r="E36" s="33">
        <f>Table9[[#This Row],[PeriodTotalCostProfitLoss]]+Table9[[#This Row],[PeriodChange]]+Table9[[#This Row],[PeriodPureInterestPayment]]</f>
        <v>-69044900</v>
      </c>
      <c r="F36" s="33">
        <v>293455100</v>
      </c>
      <c r="G36" s="33">
        <v>-362500000</v>
      </c>
      <c r="H36" s="33">
        <v>0</v>
      </c>
      <c r="I36" s="33">
        <f>Table9[[#This Row],[CurrentTotalCostProfitLoss]]+Table9[[#This Row],[CurrentChange]]+Table9[[#This Row],[CurrentPureInterestPayment]]</f>
        <v>-69044900</v>
      </c>
    </row>
    <row r="37" spans="1:9" ht="23.1" customHeight="1">
      <c r="A37" s="55" t="s">
        <v>294</v>
      </c>
      <c r="B37" s="33">
        <v>0</v>
      </c>
      <c r="C37" s="33">
        <v>0</v>
      </c>
      <c r="D37" s="33">
        <v>0</v>
      </c>
      <c r="E37" s="33">
        <f>Table9[[#This Row],[PeriodTotalCostProfitLoss]]+Table9[[#This Row],[PeriodChange]]+Table9[[#This Row],[PeriodPureInterestPayment]]</f>
        <v>0</v>
      </c>
      <c r="F37" s="33">
        <v>0</v>
      </c>
      <c r="G37" s="33">
        <v>0</v>
      </c>
      <c r="H37" s="33">
        <v>4260038156</v>
      </c>
      <c r="I37" s="33">
        <f>Table9[[#This Row],[CurrentTotalCostProfitLoss]]+Table9[[#This Row],[CurrentChange]]+Table9[[#This Row],[CurrentPureInterestPayment]]</f>
        <v>4260038156</v>
      </c>
    </row>
    <row r="38" spans="1:9" ht="23.1" customHeight="1">
      <c r="A38" s="55" t="s">
        <v>234</v>
      </c>
      <c r="B38" s="33">
        <v>0</v>
      </c>
      <c r="C38" s="33">
        <v>-114645982</v>
      </c>
      <c r="D38" s="33">
        <v>0</v>
      </c>
      <c r="E38" s="33">
        <f>Table9[[#This Row],[PeriodTotalCostProfitLoss]]+Table9[[#This Row],[PeriodChange]]+Table9[[#This Row],[PeriodPureInterestPayment]]</f>
        <v>-114645982</v>
      </c>
      <c r="F38" s="33">
        <v>0</v>
      </c>
      <c r="G38" s="33">
        <v>289059883</v>
      </c>
      <c r="H38" s="33">
        <v>0</v>
      </c>
      <c r="I38" s="33">
        <f>Table9[[#This Row],[CurrentTotalCostProfitLoss]]+Table9[[#This Row],[CurrentChange]]+Table9[[#This Row],[CurrentPureInterestPayment]]</f>
        <v>289059883</v>
      </c>
    </row>
    <row r="39" spans="1:9" ht="23.1" customHeight="1" thickBot="1">
      <c r="A39" s="64" t="s">
        <v>101</v>
      </c>
      <c r="B39" s="35">
        <f t="shared" ref="B39:I39" si="0">SUM(B10:B38)</f>
        <v>12562700063</v>
      </c>
      <c r="C39" s="35">
        <f t="shared" si="0"/>
        <v>-2596712916</v>
      </c>
      <c r="D39" s="35">
        <f t="shared" si="0"/>
        <v>4563198304</v>
      </c>
      <c r="E39" s="35">
        <f t="shared" si="0"/>
        <v>14529185451</v>
      </c>
      <c r="F39" s="35">
        <f t="shared" si="0"/>
        <v>33867103289</v>
      </c>
      <c r="G39" s="35">
        <f t="shared" si="0"/>
        <v>14213119687</v>
      </c>
      <c r="H39" s="35">
        <f t="shared" si="0"/>
        <v>57419599629</v>
      </c>
      <c r="I39" s="35">
        <f t="shared" si="0"/>
        <v>105499822605</v>
      </c>
    </row>
    <row r="40" spans="1:9" ht="23.25" thickTop="1"/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8"/>
    <mergeCell ref="I7:I8"/>
    <mergeCell ref="E7:E8"/>
  </mergeCells>
  <pageMargins left="0.7" right="0.7" top="0.75" bottom="0.75" header="0.3" footer="0.3"/>
  <pageSetup paperSize="9" scale="71" orientation="landscape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rightToLeft="1" view="pageBreakPreview" topLeftCell="A53" zoomScale="106" zoomScaleNormal="100" zoomScaleSheetLayoutView="106" workbookViewId="0">
      <selection activeCell="B74" sqref="B74"/>
    </sheetView>
  </sheetViews>
  <sheetFormatPr defaultColWidth="0" defaultRowHeight="22.5"/>
  <cols>
    <col min="1" max="1" width="12.42578125" style="51" bestFit="1" customWidth="1"/>
    <col min="2" max="2" width="29.85546875" style="51" bestFit="1" customWidth="1"/>
    <col min="3" max="3" width="26.5703125" style="51" bestFit="1" customWidth="1"/>
    <col min="4" max="4" width="29.85546875" style="51" bestFit="1" customWidth="1"/>
    <col min="5" max="5" width="26.5703125" style="51" bestFit="1" customWidth="1"/>
    <col min="6" max="6" width="0.7109375" style="50" customWidth="1"/>
    <col min="7" max="7" width="0" style="50" hidden="1" customWidth="1"/>
    <col min="8" max="16384" width="0" style="50" hidden="1"/>
  </cols>
  <sheetData>
    <row r="1" spans="1:6">
      <c r="A1" s="126" t="s">
        <v>0</v>
      </c>
      <c r="B1" s="126"/>
      <c r="C1" s="126"/>
      <c r="D1" s="126"/>
      <c r="E1" s="126"/>
    </row>
    <row r="2" spans="1:6">
      <c r="A2" s="126" t="s">
        <v>260</v>
      </c>
      <c r="B2" s="126"/>
      <c r="C2" s="126"/>
      <c r="D2" s="126"/>
      <c r="E2" s="126"/>
    </row>
    <row r="3" spans="1:6">
      <c r="A3" s="126" t="s">
        <v>261</v>
      </c>
      <c r="B3" s="126"/>
      <c r="C3" s="126"/>
      <c r="D3" s="126"/>
      <c r="E3" s="126"/>
    </row>
    <row r="4" spans="1:6">
      <c r="A4" s="136" t="s">
        <v>295</v>
      </c>
      <c r="B4" s="136"/>
      <c r="C4" s="136"/>
      <c r="D4" s="136"/>
      <c r="E4" s="136"/>
    </row>
    <row r="5" spans="1:6" ht="23.25" thickBot="1">
      <c r="A5" s="56"/>
      <c r="B5" s="56"/>
      <c r="C5" s="56"/>
      <c r="D5" s="56"/>
      <c r="E5" s="56"/>
    </row>
    <row r="6" spans="1:6" ht="37.5" customHeight="1" thickBot="1">
      <c r="A6" s="57" t="s">
        <v>296</v>
      </c>
      <c r="B6" s="135" t="s">
        <v>406</v>
      </c>
      <c r="C6" s="135"/>
      <c r="D6" s="137" t="s">
        <v>263</v>
      </c>
      <c r="E6" s="137"/>
      <c r="F6" s="65"/>
    </row>
    <row r="7" spans="1:6" ht="59.25" customHeight="1" thickBot="1">
      <c r="A7" s="57" t="s">
        <v>297</v>
      </c>
      <c r="B7" s="57" t="s">
        <v>298</v>
      </c>
      <c r="C7" s="57" t="s">
        <v>299</v>
      </c>
      <c r="D7" s="57" t="s">
        <v>298</v>
      </c>
      <c r="E7" s="57" t="s">
        <v>299</v>
      </c>
      <c r="F7" s="51"/>
    </row>
    <row r="8" spans="1:6" ht="22.5" hidden="1" customHeight="1">
      <c r="A8" s="8" t="s">
        <v>300</v>
      </c>
      <c r="B8" s="9" t="s">
        <v>301</v>
      </c>
      <c r="C8" s="8" t="s">
        <v>302</v>
      </c>
      <c r="D8" s="9" t="s">
        <v>303</v>
      </c>
      <c r="E8" s="8" t="s">
        <v>304</v>
      </c>
    </row>
    <row r="9" spans="1:6" ht="23.1" customHeight="1">
      <c r="A9" s="8" t="s">
        <v>36</v>
      </c>
      <c r="B9" s="9">
        <v>315684734</v>
      </c>
      <c r="C9" s="8">
        <v>17</v>
      </c>
      <c r="D9" s="9">
        <v>2217137849</v>
      </c>
      <c r="E9" s="8">
        <v>17</v>
      </c>
    </row>
    <row r="10" spans="1:6" ht="23.1" customHeight="1">
      <c r="A10" s="8" t="s">
        <v>73</v>
      </c>
      <c r="B10" s="9">
        <v>1734857166</v>
      </c>
      <c r="C10" s="8">
        <v>15</v>
      </c>
      <c r="D10" s="9">
        <v>4315368674</v>
      </c>
      <c r="E10" s="8">
        <v>15</v>
      </c>
    </row>
    <row r="11" spans="1:6" ht="23.1" customHeight="1">
      <c r="A11" s="8" t="s">
        <v>46</v>
      </c>
      <c r="B11" s="9">
        <v>0</v>
      </c>
      <c r="C11" s="8">
        <v>15</v>
      </c>
      <c r="D11" s="9">
        <v>474274482</v>
      </c>
      <c r="E11" s="8">
        <v>15</v>
      </c>
    </row>
    <row r="12" spans="1:6" ht="23.1" customHeight="1">
      <c r="A12" s="8" t="s">
        <v>54</v>
      </c>
      <c r="B12" s="9">
        <v>270852595</v>
      </c>
      <c r="C12" s="8">
        <v>15</v>
      </c>
      <c r="D12" s="9">
        <v>645691550</v>
      </c>
      <c r="E12" s="8">
        <v>15</v>
      </c>
    </row>
    <row r="13" spans="1:6" ht="23.1" customHeight="1">
      <c r="A13" s="8" t="s">
        <v>53</v>
      </c>
      <c r="B13" s="9">
        <v>520800341</v>
      </c>
      <c r="C13" s="8">
        <v>15</v>
      </c>
      <c r="D13" s="9">
        <v>520800341</v>
      </c>
      <c r="E13" s="8">
        <v>15</v>
      </c>
    </row>
    <row r="14" spans="1:6" ht="23.1" customHeight="1">
      <c r="A14" s="8" t="s">
        <v>99</v>
      </c>
      <c r="B14" s="9">
        <v>60990374</v>
      </c>
      <c r="C14" s="8">
        <v>15</v>
      </c>
      <c r="D14" s="9">
        <v>372817183</v>
      </c>
      <c r="E14" s="8">
        <v>15</v>
      </c>
    </row>
    <row r="15" spans="1:6" ht="23.1" customHeight="1">
      <c r="A15" s="8" t="s">
        <v>35</v>
      </c>
      <c r="B15" s="9">
        <v>1072659491</v>
      </c>
      <c r="C15" s="8">
        <v>15</v>
      </c>
      <c r="D15" s="9">
        <v>2261681907</v>
      </c>
      <c r="E15" s="8">
        <v>15</v>
      </c>
    </row>
    <row r="16" spans="1:6" ht="23.1" customHeight="1">
      <c r="A16" s="8" t="s">
        <v>83</v>
      </c>
      <c r="B16" s="9">
        <v>240908154</v>
      </c>
      <c r="C16" s="8">
        <v>15</v>
      </c>
      <c r="D16" s="9">
        <v>3331636937</v>
      </c>
      <c r="E16" s="8">
        <v>15</v>
      </c>
    </row>
    <row r="17" spans="1:5" ht="23.1" customHeight="1">
      <c r="A17" s="8" t="s">
        <v>93</v>
      </c>
      <c r="B17" s="9">
        <v>99415288</v>
      </c>
      <c r="C17" s="8">
        <v>15</v>
      </c>
      <c r="D17" s="9">
        <v>170278820</v>
      </c>
      <c r="E17" s="8">
        <v>15</v>
      </c>
    </row>
    <row r="18" spans="1:5" ht="23.1" customHeight="1">
      <c r="A18" s="8" t="s">
        <v>64</v>
      </c>
      <c r="B18" s="9">
        <v>200761356</v>
      </c>
      <c r="C18" s="8">
        <v>15</v>
      </c>
      <c r="D18" s="9">
        <v>1385937549</v>
      </c>
      <c r="E18" s="8">
        <v>15</v>
      </c>
    </row>
    <row r="19" spans="1:5" ht="23.1" customHeight="1">
      <c r="A19" s="8" t="s">
        <v>74</v>
      </c>
      <c r="B19" s="9">
        <v>141109888</v>
      </c>
      <c r="C19" s="8">
        <v>15</v>
      </c>
      <c r="D19" s="9">
        <v>501423523</v>
      </c>
      <c r="E19" s="8">
        <v>15</v>
      </c>
    </row>
    <row r="20" spans="1:5" ht="23.1" customHeight="1">
      <c r="A20" s="8" t="s">
        <v>45</v>
      </c>
      <c r="B20" s="9">
        <v>204903892</v>
      </c>
      <c r="C20" s="8">
        <v>15</v>
      </c>
      <c r="D20" s="9">
        <v>554346293</v>
      </c>
      <c r="E20" s="8">
        <v>15</v>
      </c>
    </row>
    <row r="21" spans="1:5" ht="23.1" customHeight="1">
      <c r="A21" s="8" t="s">
        <v>55</v>
      </c>
      <c r="B21" s="9">
        <v>31528363</v>
      </c>
      <c r="C21" s="8">
        <v>15</v>
      </c>
      <c r="D21" s="9">
        <v>364826208</v>
      </c>
      <c r="E21" s="8">
        <v>15</v>
      </c>
    </row>
    <row r="22" spans="1:5" ht="23.1" customHeight="1">
      <c r="A22" s="8" t="s">
        <v>100</v>
      </c>
      <c r="B22" s="9">
        <v>0</v>
      </c>
      <c r="C22" s="8">
        <v>15</v>
      </c>
      <c r="D22" s="9">
        <v>984910087</v>
      </c>
      <c r="E22" s="8">
        <v>15</v>
      </c>
    </row>
    <row r="23" spans="1:5" ht="23.1" customHeight="1">
      <c r="A23" s="8" t="s">
        <v>98</v>
      </c>
      <c r="B23" s="9">
        <v>31478410</v>
      </c>
      <c r="C23" s="8">
        <v>15</v>
      </c>
      <c r="D23" s="9">
        <v>283239833</v>
      </c>
      <c r="E23" s="8">
        <v>15</v>
      </c>
    </row>
    <row r="24" spans="1:5" ht="23.1" customHeight="1">
      <c r="A24" s="8" t="s">
        <v>52</v>
      </c>
      <c r="B24" s="9">
        <v>1022464083</v>
      </c>
      <c r="C24" s="8">
        <v>10</v>
      </c>
      <c r="D24" s="9">
        <v>1256647350</v>
      </c>
      <c r="E24" s="8">
        <v>10</v>
      </c>
    </row>
    <row r="25" spans="1:5" ht="23.1" customHeight="1">
      <c r="A25" s="8" t="s">
        <v>63</v>
      </c>
      <c r="B25" s="9">
        <v>176204044</v>
      </c>
      <c r="C25" s="8">
        <v>10</v>
      </c>
      <c r="D25" s="9">
        <v>208075414</v>
      </c>
      <c r="E25" s="8">
        <v>10</v>
      </c>
    </row>
    <row r="26" spans="1:5" ht="23.1" customHeight="1">
      <c r="A26" s="8" t="s">
        <v>34</v>
      </c>
      <c r="B26" s="9">
        <v>93919361</v>
      </c>
      <c r="C26" s="8">
        <v>10</v>
      </c>
      <c r="D26" s="9">
        <v>107486614</v>
      </c>
      <c r="E26" s="8">
        <v>10</v>
      </c>
    </row>
    <row r="27" spans="1:5" ht="23.1" customHeight="1">
      <c r="A27" s="8" t="s">
        <v>44</v>
      </c>
      <c r="B27" s="9">
        <v>30718200</v>
      </c>
      <c r="C27" s="8">
        <v>10</v>
      </c>
      <c r="D27" s="9">
        <v>125160520</v>
      </c>
      <c r="E27" s="8">
        <v>10</v>
      </c>
    </row>
    <row r="28" spans="1:5" ht="23.1" customHeight="1">
      <c r="A28" s="8" t="s">
        <v>92</v>
      </c>
      <c r="B28" s="9">
        <v>1463779918</v>
      </c>
      <c r="C28" s="8">
        <v>10</v>
      </c>
      <c r="D28" s="9">
        <v>1797526879</v>
      </c>
      <c r="E28" s="8">
        <v>10</v>
      </c>
    </row>
    <row r="29" spans="1:5" ht="23.1" customHeight="1">
      <c r="A29" s="8" t="s">
        <v>97</v>
      </c>
      <c r="B29" s="9">
        <v>366940437</v>
      </c>
      <c r="C29" s="8">
        <v>10</v>
      </c>
      <c r="D29" s="9">
        <v>1156008080</v>
      </c>
      <c r="E29" s="8">
        <v>10</v>
      </c>
    </row>
    <row r="30" spans="1:5" ht="23.1" customHeight="1">
      <c r="A30" s="8" t="s">
        <v>71</v>
      </c>
      <c r="B30" s="9">
        <v>98617093</v>
      </c>
      <c r="C30" s="8">
        <v>10</v>
      </c>
      <c r="D30" s="9">
        <v>511213235</v>
      </c>
      <c r="E30" s="8">
        <v>10</v>
      </c>
    </row>
    <row r="31" spans="1:5" ht="23.1" customHeight="1">
      <c r="A31" s="8" t="s">
        <v>33</v>
      </c>
      <c r="B31" s="9">
        <v>0</v>
      </c>
      <c r="C31" s="8">
        <v>10</v>
      </c>
      <c r="D31" s="9">
        <v>343753369</v>
      </c>
      <c r="E31" s="8">
        <v>10</v>
      </c>
    </row>
    <row r="32" spans="1:5" ht="23.1" customHeight="1">
      <c r="A32" s="8" t="s">
        <v>82</v>
      </c>
      <c r="B32" s="9">
        <v>0</v>
      </c>
      <c r="C32" s="8">
        <v>10</v>
      </c>
      <c r="D32" s="9">
        <v>57443965</v>
      </c>
      <c r="E32" s="8">
        <v>10</v>
      </c>
    </row>
    <row r="33" spans="1:5" ht="23.1" customHeight="1">
      <c r="A33" s="8" t="s">
        <v>91</v>
      </c>
      <c r="B33" s="9">
        <v>0</v>
      </c>
      <c r="C33" s="8">
        <v>10</v>
      </c>
      <c r="D33" s="9">
        <v>350185549</v>
      </c>
      <c r="E33" s="8">
        <v>10</v>
      </c>
    </row>
    <row r="34" spans="1:5" ht="23.1" customHeight="1">
      <c r="A34" s="8" t="s">
        <v>62</v>
      </c>
      <c r="B34" s="9">
        <v>0</v>
      </c>
      <c r="C34" s="8">
        <v>10</v>
      </c>
      <c r="D34" s="9">
        <v>63510303</v>
      </c>
      <c r="E34" s="8">
        <v>10</v>
      </c>
    </row>
    <row r="35" spans="1:5" ht="23.1" customHeight="1">
      <c r="A35" s="8" t="s">
        <v>70</v>
      </c>
      <c r="B35" s="9">
        <v>179867118</v>
      </c>
      <c r="C35" s="8">
        <v>10</v>
      </c>
      <c r="D35" s="9">
        <v>701320313</v>
      </c>
      <c r="E35" s="8">
        <v>10</v>
      </c>
    </row>
    <row r="36" spans="1:5" ht="23.1" customHeight="1">
      <c r="A36" s="8" t="s">
        <v>43</v>
      </c>
      <c r="B36" s="9">
        <v>0</v>
      </c>
      <c r="C36" s="8">
        <v>10</v>
      </c>
      <c r="D36" s="9">
        <v>395988264</v>
      </c>
      <c r="E36" s="8">
        <v>10</v>
      </c>
    </row>
    <row r="37" spans="1:5" ht="23.1" customHeight="1">
      <c r="A37" s="8" t="s">
        <v>51</v>
      </c>
      <c r="B37" s="9">
        <v>0</v>
      </c>
      <c r="C37" s="8">
        <v>10</v>
      </c>
      <c r="D37" s="9">
        <v>99675980</v>
      </c>
      <c r="E37" s="8">
        <v>10</v>
      </c>
    </row>
    <row r="38" spans="1:5" ht="23.1" customHeight="1">
      <c r="A38" s="8" t="s">
        <v>96</v>
      </c>
      <c r="B38" s="9">
        <v>380314043</v>
      </c>
      <c r="C38" s="8">
        <v>10</v>
      </c>
      <c r="D38" s="9">
        <v>570322758</v>
      </c>
      <c r="E38" s="8">
        <v>10</v>
      </c>
    </row>
    <row r="39" spans="1:5" ht="23.1" customHeight="1">
      <c r="A39" s="8" t="s">
        <v>32</v>
      </c>
      <c r="B39" s="9">
        <v>0</v>
      </c>
      <c r="C39" s="8">
        <v>10</v>
      </c>
      <c r="D39" s="9">
        <v>24371274</v>
      </c>
      <c r="E39" s="8">
        <v>10</v>
      </c>
    </row>
    <row r="40" spans="1:5" ht="23.1" customHeight="1">
      <c r="A40" s="8" t="s">
        <v>81</v>
      </c>
      <c r="B40" s="9">
        <v>63965502</v>
      </c>
      <c r="C40" s="8">
        <v>10</v>
      </c>
      <c r="D40" s="9">
        <v>125214382</v>
      </c>
      <c r="E40" s="8">
        <v>10</v>
      </c>
    </row>
    <row r="41" spans="1:5" ht="23.1" customHeight="1">
      <c r="A41" s="8" t="s">
        <v>80</v>
      </c>
      <c r="B41" s="9">
        <v>373054192</v>
      </c>
      <c r="C41" s="8">
        <v>10</v>
      </c>
      <c r="D41" s="9">
        <v>536472761</v>
      </c>
      <c r="E41" s="8">
        <v>10</v>
      </c>
    </row>
    <row r="42" spans="1:5" ht="23.1" customHeight="1">
      <c r="A42" s="8" t="s">
        <v>50</v>
      </c>
      <c r="B42" s="9">
        <v>219812282</v>
      </c>
      <c r="C42" s="8">
        <v>10</v>
      </c>
      <c r="D42" s="9">
        <v>443542855</v>
      </c>
      <c r="E42" s="8">
        <v>10</v>
      </c>
    </row>
    <row r="43" spans="1:5" ht="23.1" customHeight="1">
      <c r="A43" s="8" t="s">
        <v>61</v>
      </c>
      <c r="B43" s="9">
        <v>24264728</v>
      </c>
      <c r="C43" s="8">
        <v>10</v>
      </c>
      <c r="D43" s="9">
        <v>86358257</v>
      </c>
      <c r="E43" s="8">
        <v>10</v>
      </c>
    </row>
    <row r="44" spans="1:5" ht="23.1" customHeight="1">
      <c r="A44" s="8" t="s">
        <v>31</v>
      </c>
      <c r="B44" s="9">
        <v>167735014</v>
      </c>
      <c r="C44" s="8">
        <v>10</v>
      </c>
      <c r="D44" s="9">
        <v>172289796</v>
      </c>
      <c r="E44" s="8">
        <v>10</v>
      </c>
    </row>
    <row r="45" spans="1:5" ht="23.1" customHeight="1">
      <c r="A45" s="8" t="s">
        <v>42</v>
      </c>
      <c r="B45" s="9">
        <v>40240487</v>
      </c>
      <c r="C45" s="8">
        <v>10</v>
      </c>
      <c r="D45" s="9">
        <v>169339687</v>
      </c>
      <c r="E45" s="8">
        <v>10</v>
      </c>
    </row>
    <row r="46" spans="1:5" ht="23.1" customHeight="1">
      <c r="A46" s="8" t="s">
        <v>90</v>
      </c>
      <c r="B46" s="9">
        <v>0</v>
      </c>
      <c r="C46" s="8">
        <v>10</v>
      </c>
      <c r="D46" s="9">
        <v>167843229</v>
      </c>
      <c r="E46" s="8">
        <v>10</v>
      </c>
    </row>
    <row r="47" spans="1:5" ht="23.1" customHeight="1">
      <c r="A47" s="8" t="s">
        <v>95</v>
      </c>
      <c r="B47" s="9">
        <v>474753518</v>
      </c>
      <c r="C47" s="8">
        <v>10</v>
      </c>
      <c r="D47" s="9">
        <v>822888378</v>
      </c>
      <c r="E47" s="8">
        <v>10</v>
      </c>
    </row>
    <row r="48" spans="1:5" ht="23.1" customHeight="1">
      <c r="A48" s="8" t="s">
        <v>69</v>
      </c>
      <c r="B48" s="9">
        <v>138708282</v>
      </c>
      <c r="C48" s="8">
        <v>10</v>
      </c>
      <c r="D48" s="9">
        <v>342940007</v>
      </c>
      <c r="E48" s="8">
        <v>10</v>
      </c>
    </row>
    <row r="49" spans="1:5" ht="23.1" customHeight="1">
      <c r="A49" s="8" t="s">
        <v>79</v>
      </c>
      <c r="B49" s="9">
        <v>244652830</v>
      </c>
      <c r="C49" s="8">
        <v>10</v>
      </c>
      <c r="D49" s="9">
        <v>294825539</v>
      </c>
      <c r="E49" s="8">
        <v>10</v>
      </c>
    </row>
    <row r="50" spans="1:5" ht="23.1" customHeight="1">
      <c r="A50" s="8" t="s">
        <v>49</v>
      </c>
      <c r="B50" s="9">
        <v>320016931</v>
      </c>
      <c r="C50" s="8">
        <v>10</v>
      </c>
      <c r="D50" s="9">
        <v>368510895</v>
      </c>
      <c r="E50" s="8">
        <v>10</v>
      </c>
    </row>
    <row r="51" spans="1:5" ht="23.1" customHeight="1">
      <c r="A51" s="8" t="s">
        <v>89</v>
      </c>
      <c r="B51" s="9">
        <v>121286074</v>
      </c>
      <c r="C51" s="8">
        <v>10</v>
      </c>
      <c r="D51" s="9">
        <v>192143089</v>
      </c>
      <c r="E51" s="8">
        <v>10</v>
      </c>
    </row>
    <row r="52" spans="1:5" ht="23.1" customHeight="1">
      <c r="A52" s="8" t="s">
        <v>60</v>
      </c>
      <c r="B52" s="9">
        <v>333113139</v>
      </c>
      <c r="C52" s="8">
        <v>10</v>
      </c>
      <c r="D52" s="9">
        <v>604064418</v>
      </c>
      <c r="E52" s="8">
        <v>10</v>
      </c>
    </row>
    <row r="53" spans="1:5" ht="23.1" customHeight="1">
      <c r="A53" s="8" t="s">
        <v>68</v>
      </c>
      <c r="B53" s="9">
        <v>26278263</v>
      </c>
      <c r="C53" s="8">
        <v>10</v>
      </c>
      <c r="D53" s="9">
        <v>63903450</v>
      </c>
      <c r="E53" s="8">
        <v>10</v>
      </c>
    </row>
    <row r="54" spans="1:5" ht="23.1" customHeight="1">
      <c r="A54" s="8" t="s">
        <v>41</v>
      </c>
      <c r="B54" s="9">
        <v>375952089</v>
      </c>
      <c r="C54" s="8">
        <v>10</v>
      </c>
      <c r="D54" s="9">
        <v>419468173</v>
      </c>
      <c r="E54" s="8">
        <v>10</v>
      </c>
    </row>
    <row r="55" spans="1:5" ht="23.1" customHeight="1">
      <c r="A55" s="8" t="s">
        <v>48</v>
      </c>
      <c r="B55" s="9">
        <v>123766530</v>
      </c>
      <c r="C55" s="8">
        <v>10</v>
      </c>
      <c r="D55" s="9">
        <v>541014886</v>
      </c>
      <c r="E55" s="8">
        <v>10</v>
      </c>
    </row>
    <row r="56" spans="1:5" ht="23.1" customHeight="1">
      <c r="A56" s="8" t="s">
        <v>30</v>
      </c>
      <c r="B56" s="9">
        <v>58723615</v>
      </c>
      <c r="C56" s="8">
        <v>10</v>
      </c>
      <c r="D56" s="9">
        <v>265204743</v>
      </c>
      <c r="E56" s="8">
        <v>10</v>
      </c>
    </row>
    <row r="57" spans="1:5" ht="23.1" customHeight="1">
      <c r="A57" s="8" t="s">
        <v>78</v>
      </c>
      <c r="B57" s="9">
        <v>126138081</v>
      </c>
      <c r="C57" s="8">
        <v>10</v>
      </c>
      <c r="D57" s="9">
        <v>205142726</v>
      </c>
      <c r="E57" s="8">
        <v>10</v>
      </c>
    </row>
    <row r="58" spans="1:5" ht="23.1" customHeight="1">
      <c r="A58" s="8" t="s">
        <v>88</v>
      </c>
      <c r="B58" s="9">
        <v>0</v>
      </c>
      <c r="C58" s="8">
        <v>10</v>
      </c>
      <c r="D58" s="9">
        <v>122607806</v>
      </c>
      <c r="E58" s="8">
        <v>10</v>
      </c>
    </row>
    <row r="59" spans="1:5" ht="23.1" customHeight="1">
      <c r="A59" s="8" t="s">
        <v>59</v>
      </c>
      <c r="B59" s="9">
        <v>82517275</v>
      </c>
      <c r="C59" s="8">
        <v>10</v>
      </c>
      <c r="D59" s="9">
        <v>302913961</v>
      </c>
      <c r="E59" s="8">
        <v>10</v>
      </c>
    </row>
    <row r="60" spans="1:5" ht="23.1" customHeight="1">
      <c r="A60" s="8" t="s">
        <v>29</v>
      </c>
      <c r="B60" s="9">
        <v>26837086</v>
      </c>
      <c r="C60" s="8">
        <v>10</v>
      </c>
      <c r="D60" s="9">
        <v>53674172</v>
      </c>
      <c r="E60" s="8">
        <v>10</v>
      </c>
    </row>
    <row r="61" spans="1:5" ht="23.1" customHeight="1">
      <c r="A61" s="8" t="s">
        <v>40</v>
      </c>
      <c r="B61" s="9">
        <v>0</v>
      </c>
      <c r="C61" s="8">
        <v>10</v>
      </c>
      <c r="D61" s="9">
        <v>184342079</v>
      </c>
      <c r="E61" s="8">
        <v>10</v>
      </c>
    </row>
    <row r="62" spans="1:5" ht="23.1" customHeight="1">
      <c r="A62" s="8" t="s">
        <v>87</v>
      </c>
      <c r="B62" s="9">
        <v>41867754</v>
      </c>
      <c r="C62" s="8">
        <v>10</v>
      </c>
      <c r="D62" s="9">
        <v>200146412</v>
      </c>
      <c r="E62" s="8">
        <v>10</v>
      </c>
    </row>
    <row r="63" spans="1:5" ht="23.1" customHeight="1">
      <c r="A63" s="8" t="s">
        <v>94</v>
      </c>
      <c r="B63" s="9">
        <v>181263440</v>
      </c>
      <c r="C63" s="8">
        <v>10</v>
      </c>
      <c r="D63" s="9">
        <v>362526880</v>
      </c>
      <c r="E63" s="8">
        <v>10</v>
      </c>
    </row>
    <row r="64" spans="1:5" ht="23.1" customHeight="1">
      <c r="A64" s="8" t="s">
        <v>67</v>
      </c>
      <c r="B64" s="9">
        <v>136056576</v>
      </c>
      <c r="C64" s="8">
        <v>10</v>
      </c>
      <c r="D64" s="9">
        <v>242114564</v>
      </c>
      <c r="E64" s="8">
        <v>10</v>
      </c>
    </row>
    <row r="65" spans="1:6" ht="23.1" customHeight="1">
      <c r="A65" s="8" t="s">
        <v>77</v>
      </c>
      <c r="B65" s="9">
        <v>226617403</v>
      </c>
      <c r="C65" s="8">
        <v>10</v>
      </c>
      <c r="D65" s="9">
        <v>263975689</v>
      </c>
      <c r="E65" s="8">
        <v>10</v>
      </c>
    </row>
    <row r="66" spans="1:6" ht="23.1" customHeight="1">
      <c r="A66" s="8" t="s">
        <v>57</v>
      </c>
      <c r="B66" s="9">
        <v>104239452</v>
      </c>
      <c r="C66" s="8">
        <v>10</v>
      </c>
      <c r="D66" s="9">
        <v>141045138</v>
      </c>
      <c r="E66" s="8">
        <v>10</v>
      </c>
    </row>
    <row r="67" spans="1:6" ht="23.1" customHeight="1">
      <c r="A67" s="8" t="s">
        <v>28</v>
      </c>
      <c r="B67" s="9">
        <v>107937015</v>
      </c>
      <c r="C67" s="8">
        <v>10</v>
      </c>
      <c r="D67" s="9">
        <v>162056919</v>
      </c>
      <c r="E67" s="8">
        <v>10</v>
      </c>
    </row>
    <row r="68" spans="1:6" ht="23.1" customHeight="1">
      <c r="A68" s="8" t="s">
        <v>66</v>
      </c>
      <c r="B68" s="9">
        <v>217724178</v>
      </c>
      <c r="C68" s="8">
        <v>10</v>
      </c>
      <c r="D68" s="9">
        <v>234106115</v>
      </c>
      <c r="E68" s="8">
        <v>10</v>
      </c>
    </row>
    <row r="69" spans="1:6" ht="23.1" customHeight="1">
      <c r="A69" s="8" t="s">
        <v>39</v>
      </c>
      <c r="B69" s="9">
        <v>70970349</v>
      </c>
      <c r="C69" s="8">
        <v>10</v>
      </c>
      <c r="D69" s="9">
        <v>141940698</v>
      </c>
      <c r="E69" s="8">
        <v>10</v>
      </c>
    </row>
    <row r="70" spans="1:6" ht="23.1" customHeight="1">
      <c r="A70" s="8" t="s">
        <v>25</v>
      </c>
      <c r="B70" s="9">
        <v>30025595</v>
      </c>
      <c r="C70" s="8">
        <v>10</v>
      </c>
      <c r="D70" s="9">
        <v>30025595</v>
      </c>
      <c r="E70" s="8">
        <v>10</v>
      </c>
    </row>
    <row r="71" spans="1:6" ht="23.1" customHeight="1">
      <c r="A71" s="8" t="s">
        <v>85</v>
      </c>
      <c r="B71" s="9">
        <v>415560691</v>
      </c>
      <c r="C71" s="8">
        <v>10</v>
      </c>
      <c r="D71" s="9">
        <v>415560691</v>
      </c>
      <c r="E71" s="8">
        <v>10</v>
      </c>
    </row>
    <row r="72" spans="1:6" ht="23.1" customHeight="1">
      <c r="A72" s="8" t="s">
        <v>56</v>
      </c>
      <c r="B72" s="9">
        <v>186376166</v>
      </c>
      <c r="C72" s="8">
        <v>10</v>
      </c>
      <c r="D72" s="9">
        <v>186376166</v>
      </c>
      <c r="E72" s="8">
        <v>10</v>
      </c>
    </row>
    <row r="73" spans="1:6" ht="23.1" customHeight="1">
      <c r="A73" s="8" t="s">
        <v>38</v>
      </c>
      <c r="B73" s="9">
        <v>48917235</v>
      </c>
      <c r="C73" s="8">
        <v>10</v>
      </c>
      <c r="D73" s="9">
        <v>48917235</v>
      </c>
      <c r="E73" s="8">
        <v>10</v>
      </c>
    </row>
    <row r="74" spans="1:6" ht="23.1" customHeight="1" thickBot="1">
      <c r="A74" s="66" t="s">
        <v>101</v>
      </c>
      <c r="B74" s="58">
        <f>SUM(B9:B73)</f>
        <v>13848146121</v>
      </c>
      <c r="C74" s="17"/>
      <c r="D74" s="58">
        <f>SUM(D9:D73)</f>
        <v>35066558494</v>
      </c>
      <c r="E74" s="17"/>
      <c r="F74" s="51"/>
    </row>
    <row r="75" spans="1:6" ht="23.25" thickTop="1"/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69" orientation="portrait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view="pageBreakPreview" zoomScale="60" zoomScaleNormal="100" workbookViewId="0">
      <selection activeCell="S16" sqref="S16"/>
    </sheetView>
  </sheetViews>
  <sheetFormatPr defaultRowHeight="41.25" customHeight="1"/>
  <cols>
    <col min="1" max="1" width="35.7109375" style="87" customWidth="1"/>
    <col min="2" max="2" width="31.42578125" style="87" customWidth="1"/>
    <col min="3" max="3" width="47.5703125" style="87" customWidth="1"/>
    <col min="4" max="4" width="50.7109375" style="87" customWidth="1"/>
    <col min="5" max="16384" width="9.140625" style="87"/>
  </cols>
  <sheetData>
    <row r="1" spans="1:4" ht="41.25" customHeight="1">
      <c r="A1" s="138" t="str">
        <f>'[1]ریز محاسبات'!A1</f>
        <v>نسبت های کفایت سرمایۀ صندوق سرمایه گذاری اختصاصی بازارگردانی صبا گستر نفت و گاز تامین در تاریخ 1399/11/30</v>
      </c>
      <c r="B1" s="139"/>
      <c r="C1" s="139"/>
      <c r="D1" s="140"/>
    </row>
    <row r="2" spans="1:4" ht="41.25" customHeight="1">
      <c r="A2" s="93"/>
      <c r="B2" s="94" t="s">
        <v>408</v>
      </c>
      <c r="C2" s="95" t="s">
        <v>409</v>
      </c>
      <c r="D2" s="95" t="s">
        <v>410</v>
      </c>
    </row>
    <row r="3" spans="1:4" ht="41.25" customHeight="1">
      <c r="A3" s="96" t="s">
        <v>411</v>
      </c>
      <c r="B3" s="90">
        <f>'[1]ریز محاسبات'!E83</f>
        <v>47742474</v>
      </c>
      <c r="C3" s="90">
        <f>'[1]ریز محاسبات'!F83</f>
        <v>32998198.399999999</v>
      </c>
      <c r="D3" s="90">
        <f>'[1]ریز محاسبات'!G83</f>
        <v>43526563.399999999</v>
      </c>
    </row>
    <row r="4" spans="1:4" ht="41.25" customHeight="1">
      <c r="A4" s="96" t="s">
        <v>412</v>
      </c>
      <c r="B4" s="90">
        <f>'[1]ریز محاسبات'!E166</f>
        <v>0</v>
      </c>
      <c r="C4" s="90">
        <f>'[1]ریز محاسبات'!F166</f>
        <v>0</v>
      </c>
      <c r="D4" s="90">
        <f>'[1]ریز محاسبات'!G166</f>
        <v>0</v>
      </c>
    </row>
    <row r="5" spans="1:4" ht="41.25" customHeight="1">
      <c r="A5" s="96" t="s">
        <v>413</v>
      </c>
      <c r="B5" s="90">
        <f>B3+B4</f>
        <v>47742474</v>
      </c>
      <c r="C5" s="90">
        <f t="shared" ref="C5:D5" si="0">C3+C4</f>
        <v>32998198.399999999</v>
      </c>
      <c r="D5" s="90">
        <f t="shared" si="0"/>
        <v>43526563.399999999</v>
      </c>
    </row>
    <row r="6" spans="1:4" ht="41.25" customHeight="1">
      <c r="A6" s="96" t="s">
        <v>414</v>
      </c>
      <c r="B6" s="90">
        <f>'[1]ریز محاسبات'!E182</f>
        <v>2709652</v>
      </c>
      <c r="C6" s="90">
        <f>'[1]ریز محاسبات'!F182</f>
        <v>2266043.2000000002</v>
      </c>
      <c r="D6" s="90">
        <f>'[1]ریز محاسبات'!G182</f>
        <v>2044238.8</v>
      </c>
    </row>
    <row r="7" spans="1:4" ht="41.25" customHeight="1">
      <c r="A7" s="96" t="s">
        <v>415</v>
      </c>
      <c r="B7" s="90">
        <f>'[1]ریز محاسبات'!E194</f>
        <v>0</v>
      </c>
      <c r="C7" s="90">
        <f>'[1]ریز محاسبات'!F194</f>
        <v>0</v>
      </c>
      <c r="D7" s="90">
        <f>'[1]ریز محاسبات'!G194</f>
        <v>0</v>
      </c>
    </row>
    <row r="8" spans="1:4" ht="41.25" customHeight="1">
      <c r="A8" s="96" t="s">
        <v>416</v>
      </c>
      <c r="B8" s="90">
        <f>B6+B7</f>
        <v>2709652</v>
      </c>
      <c r="C8" s="90">
        <f t="shared" ref="C8:D8" si="1">C6+C7</f>
        <v>2266043.2000000002</v>
      </c>
      <c r="D8" s="90">
        <f t="shared" si="1"/>
        <v>2044238.8</v>
      </c>
    </row>
    <row r="9" spans="1:4" ht="41.25" customHeight="1">
      <c r="A9" s="96" t="s">
        <v>417</v>
      </c>
      <c r="B9" s="90">
        <f>'[1]ریز محاسبات'!E254</f>
        <v>2038043</v>
      </c>
      <c r="C9" s="90">
        <f>'[1]ریز محاسبات'!F254</f>
        <v>1019021.5</v>
      </c>
      <c r="D9" s="90">
        <f>'[1]ریز محاسبات'!G254</f>
        <v>10190215</v>
      </c>
    </row>
    <row r="10" spans="1:4" ht="41.25" customHeight="1">
      <c r="A10" s="96" t="s">
        <v>418</v>
      </c>
      <c r="B10" s="90">
        <f>B8+B9</f>
        <v>4747695</v>
      </c>
      <c r="C10" s="90">
        <f t="shared" ref="C10:D10" si="2">C8+C9</f>
        <v>3285064.7</v>
      </c>
      <c r="D10" s="90">
        <f t="shared" si="2"/>
        <v>12234453.800000001</v>
      </c>
    </row>
    <row r="11" spans="1:4" ht="41.25" customHeight="1">
      <c r="A11" s="96" t="s">
        <v>419</v>
      </c>
      <c r="B11" s="88">
        <f>B3/(B6+B9)</f>
        <v>10.055926928751742</v>
      </c>
      <c r="C11" s="88">
        <f>C5/C10</f>
        <v>10.04491582768522</v>
      </c>
      <c r="D11" s="91"/>
    </row>
    <row r="12" spans="1:4" ht="41.25" customHeight="1">
      <c r="A12" s="96" t="s">
        <v>420</v>
      </c>
      <c r="B12" s="89">
        <f>B10/B5</f>
        <v>9.9443841138186509E-2</v>
      </c>
      <c r="C12" s="92"/>
      <c r="D12" s="89">
        <f>D10/D5</f>
        <v>0.28108016908130179</v>
      </c>
    </row>
  </sheetData>
  <mergeCells count="1">
    <mergeCell ref="A1:D1"/>
  </mergeCells>
  <pageMargins left="0.7" right="1.95" top="1.25" bottom="0.75" header="0.8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2"/>
  <sheetViews>
    <sheetView rightToLeft="1" view="pageBreakPreview" topLeftCell="A82" zoomScale="106" zoomScaleNormal="100" zoomScaleSheetLayoutView="106" workbookViewId="0">
      <selection activeCell="O21" sqref="O21"/>
    </sheetView>
  </sheetViews>
  <sheetFormatPr defaultRowHeight="20.25"/>
  <cols>
    <col min="1" max="1" width="32.140625" style="10" customWidth="1"/>
    <col min="2" max="2" width="11.28515625" style="10" customWidth="1"/>
    <col min="3" max="4" width="17.28515625" style="10" customWidth="1"/>
    <col min="5" max="5" width="10.140625" style="10" customWidth="1"/>
    <col min="6" max="6" width="17.28515625" style="10" customWidth="1"/>
    <col min="7" max="7" width="13.7109375" style="10" customWidth="1"/>
    <col min="8" max="8" width="17.28515625" style="10" customWidth="1"/>
    <col min="9" max="9" width="12.7109375" style="10" customWidth="1"/>
    <col min="10" max="10" width="16.42578125" style="10" customWidth="1"/>
    <col min="11" max="12" width="17.28515625" style="10" customWidth="1"/>
    <col min="13" max="13" width="16.140625" style="10" customWidth="1"/>
    <col min="14" max="14" width="9.140625" style="5" customWidth="1"/>
    <col min="15" max="16384" width="9.140625" style="5"/>
  </cols>
  <sheetData>
    <row r="1" spans="1:13">
      <c r="A1" s="104" t="s">
        <v>103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>
      <c r="A4" s="107" t="s">
        <v>104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>
      <c r="A5" s="107" t="s">
        <v>105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7" spans="1:13" ht="18.75" customHeight="1">
      <c r="A7" s="6"/>
      <c r="B7" s="102" t="s">
        <v>5</v>
      </c>
      <c r="C7" s="102"/>
      <c r="D7" s="102"/>
      <c r="E7" s="108" t="s">
        <v>6</v>
      </c>
      <c r="F7" s="108"/>
      <c r="G7" s="108"/>
      <c r="H7" s="108"/>
      <c r="I7" s="102" t="s">
        <v>7</v>
      </c>
      <c r="J7" s="102"/>
      <c r="K7" s="102"/>
      <c r="L7" s="102"/>
      <c r="M7" s="102"/>
    </row>
    <row r="8" spans="1:13" ht="17.25" customHeight="1">
      <c r="A8" s="105" t="s">
        <v>106</v>
      </c>
      <c r="B8" s="105" t="s">
        <v>107</v>
      </c>
      <c r="C8" s="105" t="s">
        <v>108</v>
      </c>
      <c r="D8" s="103" t="s">
        <v>109</v>
      </c>
      <c r="E8" s="106" t="s">
        <v>110</v>
      </c>
      <c r="F8" s="106"/>
      <c r="G8" s="104" t="s">
        <v>111</v>
      </c>
      <c r="H8" s="104"/>
      <c r="I8" s="103" t="s">
        <v>107</v>
      </c>
      <c r="J8" s="103" t="s">
        <v>112</v>
      </c>
      <c r="K8" s="103" t="s">
        <v>108</v>
      </c>
      <c r="L8" s="103" t="s">
        <v>109</v>
      </c>
      <c r="M8" s="103" t="s">
        <v>113</v>
      </c>
    </row>
    <row r="9" spans="1:13" ht="16.5" customHeight="1" thickBot="1">
      <c r="A9" s="102"/>
      <c r="B9" s="102"/>
      <c r="C9" s="102"/>
      <c r="D9" s="102"/>
      <c r="E9" s="7" t="s">
        <v>107</v>
      </c>
      <c r="F9" s="7" t="s">
        <v>114</v>
      </c>
      <c r="G9" s="7" t="s">
        <v>107</v>
      </c>
      <c r="H9" s="7" t="s">
        <v>115</v>
      </c>
      <c r="I9" s="102"/>
      <c r="J9" s="102"/>
      <c r="K9" s="102"/>
      <c r="L9" s="102"/>
      <c r="M9" s="102"/>
    </row>
    <row r="10" spans="1:13" ht="24" hidden="1" customHeight="1">
      <c r="A10" s="8" t="s">
        <v>116</v>
      </c>
      <c r="B10" s="9" t="s">
        <v>117</v>
      </c>
      <c r="C10" s="9" t="s">
        <v>118</v>
      </c>
      <c r="D10" s="9" t="s">
        <v>119</v>
      </c>
      <c r="E10" s="9" t="s">
        <v>120</v>
      </c>
      <c r="F10" s="9" t="s">
        <v>121</v>
      </c>
      <c r="G10" s="9" t="s">
        <v>122</v>
      </c>
      <c r="H10" s="9" t="s">
        <v>123</v>
      </c>
      <c r="I10" s="9" t="s">
        <v>124</v>
      </c>
      <c r="J10" s="8" t="s">
        <v>125</v>
      </c>
      <c r="K10" s="9" t="s">
        <v>126</v>
      </c>
      <c r="L10" s="9" t="s">
        <v>127</v>
      </c>
      <c r="M10" s="9" t="s">
        <v>128</v>
      </c>
    </row>
    <row r="11" spans="1:13" ht="23.1" customHeight="1">
      <c r="A11" s="8" t="s">
        <v>129</v>
      </c>
      <c r="B11" s="9">
        <v>442362</v>
      </c>
      <c r="C11" s="9">
        <v>5159916863</v>
      </c>
      <c r="D11" s="9">
        <v>5476598761</v>
      </c>
      <c r="E11" s="9">
        <v>2200994</v>
      </c>
      <c r="F11" s="9">
        <v>26802715534</v>
      </c>
      <c r="G11" s="9">
        <v>1156144</v>
      </c>
      <c r="H11" s="9">
        <v>13996261469</v>
      </c>
      <c r="I11" s="9">
        <v>1487212</v>
      </c>
      <c r="J11" s="8">
        <v>12320</v>
      </c>
      <c r="K11" s="9">
        <v>17966370928</v>
      </c>
      <c r="L11" s="9">
        <v>18263966578</v>
      </c>
      <c r="M11" s="11">
        <v>0.04</v>
      </c>
    </row>
    <row r="12" spans="1:13" ht="23.1" customHeight="1">
      <c r="A12" s="8" t="s">
        <v>130</v>
      </c>
      <c r="B12" s="9">
        <v>802869</v>
      </c>
      <c r="C12" s="9">
        <v>88950055273</v>
      </c>
      <c r="D12" s="9">
        <v>82055399011</v>
      </c>
      <c r="E12" s="9">
        <v>1764267</v>
      </c>
      <c r="F12" s="9">
        <v>174895800575</v>
      </c>
      <c r="G12" s="9">
        <v>1025477</v>
      </c>
      <c r="H12" s="9">
        <v>107539832378</v>
      </c>
      <c r="I12" s="9">
        <v>1541659</v>
      </c>
      <c r="J12" s="8">
        <v>99330</v>
      </c>
      <c r="K12" s="9">
        <v>156306023470</v>
      </c>
      <c r="L12" s="9">
        <v>152644187974</v>
      </c>
      <c r="M12" s="11">
        <v>0.33</v>
      </c>
    </row>
    <row r="13" spans="1:13" ht="23.1" customHeight="1">
      <c r="A13" s="8" t="s">
        <v>131</v>
      </c>
      <c r="B13" s="9">
        <v>5873615</v>
      </c>
      <c r="C13" s="9">
        <v>393582293222</v>
      </c>
      <c r="D13" s="9">
        <v>338938217111</v>
      </c>
      <c r="E13" s="9">
        <v>889054</v>
      </c>
      <c r="F13" s="9">
        <v>48196049102</v>
      </c>
      <c r="G13" s="9">
        <v>490579</v>
      </c>
      <c r="H13" s="9">
        <v>32647656228</v>
      </c>
      <c r="I13" s="9">
        <v>6272090</v>
      </c>
      <c r="J13" s="8">
        <v>53420</v>
      </c>
      <c r="K13" s="9">
        <v>409130686096</v>
      </c>
      <c r="L13" s="9">
        <v>333985552089</v>
      </c>
      <c r="M13" s="11">
        <v>0.73</v>
      </c>
    </row>
    <row r="14" spans="1:13" ht="23.1" customHeight="1">
      <c r="A14" s="8" t="s">
        <v>132</v>
      </c>
      <c r="B14" s="9">
        <v>5799174</v>
      </c>
      <c r="C14" s="9">
        <v>256412078109</v>
      </c>
      <c r="D14" s="9">
        <v>229492322557</v>
      </c>
      <c r="E14" s="9">
        <v>1103963</v>
      </c>
      <c r="F14" s="9">
        <v>40651589102</v>
      </c>
      <c r="G14" s="9">
        <v>756050</v>
      </c>
      <c r="H14" s="9">
        <v>33198311905</v>
      </c>
      <c r="I14" s="9">
        <v>6147087</v>
      </c>
      <c r="J14" s="8">
        <v>35880</v>
      </c>
      <c r="K14" s="9">
        <v>263865355306</v>
      </c>
      <c r="L14" s="9">
        <v>219853462082</v>
      </c>
      <c r="M14" s="11">
        <v>0.48</v>
      </c>
    </row>
    <row r="15" spans="1:13" ht="23.1" customHeight="1">
      <c r="A15" s="8" t="s">
        <v>133</v>
      </c>
      <c r="B15" s="9">
        <v>4413174</v>
      </c>
      <c r="C15" s="9">
        <v>284324464508</v>
      </c>
      <c r="D15" s="9">
        <v>250484022243</v>
      </c>
      <c r="E15" s="9">
        <v>818097</v>
      </c>
      <c r="F15" s="9">
        <v>41297268170</v>
      </c>
      <c r="G15" s="9">
        <v>205325</v>
      </c>
      <c r="H15" s="9">
        <v>12950609494</v>
      </c>
      <c r="I15" s="9">
        <v>5025946</v>
      </c>
      <c r="J15" s="8">
        <v>45860</v>
      </c>
      <c r="K15" s="9">
        <v>312671123184</v>
      </c>
      <c r="L15" s="9">
        <v>229754159853</v>
      </c>
      <c r="M15" s="11">
        <v>0.5</v>
      </c>
    </row>
    <row r="16" spans="1:13" ht="23.1" customHeight="1">
      <c r="A16" s="8" t="s">
        <v>134</v>
      </c>
      <c r="B16" s="9">
        <v>1890724</v>
      </c>
      <c r="C16" s="9">
        <v>294963205359</v>
      </c>
      <c r="D16" s="9">
        <v>196987674319</v>
      </c>
      <c r="E16" s="9">
        <v>202471</v>
      </c>
      <c r="F16" s="9">
        <v>19857918805</v>
      </c>
      <c r="G16" s="9">
        <v>166245</v>
      </c>
      <c r="H16" s="9">
        <v>25716530317</v>
      </c>
      <c r="I16" s="9">
        <v>1926950</v>
      </c>
      <c r="J16" s="8">
        <v>100190</v>
      </c>
      <c r="K16" s="9">
        <v>289104593847</v>
      </c>
      <c r="L16" s="9">
        <v>192444869407</v>
      </c>
      <c r="M16" s="11">
        <v>0.42</v>
      </c>
    </row>
    <row r="17" spans="1:13" ht="23.1" customHeight="1">
      <c r="A17" s="8" t="s">
        <v>135</v>
      </c>
      <c r="B17" s="9">
        <v>1305398</v>
      </c>
      <c r="C17" s="9">
        <v>36101311636</v>
      </c>
      <c r="D17" s="9">
        <v>35289389322</v>
      </c>
      <c r="E17" s="9">
        <v>3241841</v>
      </c>
      <c r="F17" s="9">
        <v>88317456485</v>
      </c>
      <c r="G17" s="9">
        <v>3462158</v>
      </c>
      <c r="H17" s="9">
        <v>93175988876</v>
      </c>
      <c r="I17" s="9">
        <v>1085081</v>
      </c>
      <c r="J17" s="8">
        <v>31260</v>
      </c>
      <c r="K17" s="9">
        <v>31242779245</v>
      </c>
      <c r="L17" s="9">
        <v>33811360596</v>
      </c>
      <c r="M17" s="11">
        <v>7.0000000000000007E-2</v>
      </c>
    </row>
    <row r="18" spans="1:13" ht="23.1" customHeight="1">
      <c r="A18" s="8" t="s">
        <v>136</v>
      </c>
      <c r="B18" s="9">
        <v>0</v>
      </c>
      <c r="C18" s="9">
        <v>0</v>
      </c>
      <c r="D18" s="9">
        <v>0</v>
      </c>
      <c r="E18" s="9">
        <v>313163</v>
      </c>
      <c r="F18" s="9">
        <v>82373970889</v>
      </c>
      <c r="G18" s="9">
        <v>128163</v>
      </c>
      <c r="H18" s="9">
        <v>33279950685</v>
      </c>
      <c r="I18" s="9">
        <v>185000</v>
      </c>
      <c r="J18" s="8">
        <v>262360</v>
      </c>
      <c r="K18" s="9">
        <v>49094020204</v>
      </c>
      <c r="L18" s="9">
        <v>48381671176</v>
      </c>
      <c r="M18" s="11">
        <v>0.11</v>
      </c>
    </row>
    <row r="19" spans="1:13" ht="23.1" customHeight="1">
      <c r="A19" s="8" t="s">
        <v>137</v>
      </c>
      <c r="B19" s="9">
        <v>0</v>
      </c>
      <c r="C19" s="9">
        <v>0</v>
      </c>
      <c r="D19" s="9">
        <v>0</v>
      </c>
      <c r="E19" s="9">
        <v>5289402</v>
      </c>
      <c r="F19" s="9">
        <v>112586098747</v>
      </c>
      <c r="G19" s="9">
        <v>1604735</v>
      </c>
      <c r="H19" s="9">
        <v>33544727626</v>
      </c>
      <c r="I19" s="9">
        <v>3684667</v>
      </c>
      <c r="J19" s="8">
        <v>20790</v>
      </c>
      <c r="K19" s="9">
        <v>79041371121</v>
      </c>
      <c r="L19" s="9">
        <v>76359706241</v>
      </c>
      <c r="M19" s="11">
        <v>0.17</v>
      </c>
    </row>
    <row r="20" spans="1:13" ht="23.1" customHeight="1">
      <c r="A20" s="8" t="s">
        <v>138</v>
      </c>
      <c r="B20" s="9">
        <v>4321490</v>
      </c>
      <c r="C20" s="9">
        <v>269594367961</v>
      </c>
      <c r="D20" s="9">
        <v>264449445404</v>
      </c>
      <c r="E20" s="9">
        <v>1178509</v>
      </c>
      <c r="F20" s="9">
        <v>66510306514</v>
      </c>
      <c r="G20" s="9">
        <v>888296</v>
      </c>
      <c r="H20" s="9">
        <v>54995761144</v>
      </c>
      <c r="I20" s="9">
        <v>4611703</v>
      </c>
      <c r="J20" s="8">
        <v>56000</v>
      </c>
      <c r="K20" s="9">
        <v>281108913331</v>
      </c>
      <c r="L20" s="9">
        <v>257431016870</v>
      </c>
      <c r="M20" s="11">
        <v>0.56000000000000005</v>
      </c>
    </row>
    <row r="21" spans="1:13" ht="23.1" customHeight="1">
      <c r="A21" s="8" t="s">
        <v>139</v>
      </c>
      <c r="B21" s="9">
        <v>900356</v>
      </c>
      <c r="C21" s="9">
        <v>42215497174</v>
      </c>
      <c r="D21" s="9">
        <v>44204581565</v>
      </c>
      <c r="E21" s="9">
        <v>9963513</v>
      </c>
      <c r="F21" s="9">
        <v>633851728627</v>
      </c>
      <c r="G21" s="9">
        <v>3754638</v>
      </c>
      <c r="H21" s="9">
        <v>216979124958</v>
      </c>
      <c r="I21" s="9">
        <v>7109231</v>
      </c>
      <c r="J21" s="8">
        <v>63897</v>
      </c>
      <c r="K21" s="9">
        <v>459088100843</v>
      </c>
      <c r="L21" s="9">
        <v>452808539974</v>
      </c>
      <c r="M21" s="11">
        <v>0.99</v>
      </c>
    </row>
    <row r="22" spans="1:13" ht="23.1" customHeight="1">
      <c r="A22" s="8" t="s">
        <v>140</v>
      </c>
      <c r="B22" s="9">
        <v>3677818</v>
      </c>
      <c r="C22" s="9">
        <v>382353718712</v>
      </c>
      <c r="D22" s="9">
        <v>328297321166</v>
      </c>
      <c r="E22" s="9">
        <v>299806</v>
      </c>
      <c r="F22" s="9">
        <v>25602583251</v>
      </c>
      <c r="G22" s="9">
        <v>315585</v>
      </c>
      <c r="H22" s="9">
        <v>32714592284</v>
      </c>
      <c r="I22" s="9">
        <v>3662039</v>
      </c>
      <c r="J22" s="8">
        <v>87760</v>
      </c>
      <c r="K22" s="9">
        <v>375241709679</v>
      </c>
      <c r="L22" s="9">
        <v>320354695950</v>
      </c>
      <c r="M22" s="11">
        <v>0.7</v>
      </c>
    </row>
    <row r="23" spans="1:13" ht="23.1" customHeight="1">
      <c r="A23" s="8" t="s">
        <v>141</v>
      </c>
      <c r="B23" s="9">
        <v>15886485</v>
      </c>
      <c r="C23" s="9">
        <v>171350736463</v>
      </c>
      <c r="D23" s="9">
        <v>152498516527</v>
      </c>
      <c r="E23" s="9">
        <v>7314842</v>
      </c>
      <c r="F23" s="9">
        <v>62067231858</v>
      </c>
      <c r="G23" s="9">
        <v>4958170</v>
      </c>
      <c r="H23" s="9">
        <v>51637298837</v>
      </c>
      <c r="I23" s="9">
        <v>18243157</v>
      </c>
      <c r="J23" s="8">
        <v>8330</v>
      </c>
      <c r="K23" s="9">
        <v>181780669484</v>
      </c>
      <c r="L23" s="9">
        <v>151480423945</v>
      </c>
      <c r="M23" s="11">
        <v>0.33</v>
      </c>
    </row>
    <row r="24" spans="1:13" ht="23.1" customHeight="1">
      <c r="A24" s="8" t="s">
        <v>142</v>
      </c>
      <c r="B24" s="9">
        <v>18997112</v>
      </c>
      <c r="C24" s="9">
        <v>324900468497</v>
      </c>
      <c r="D24" s="9">
        <v>287266298728</v>
      </c>
      <c r="E24" s="9">
        <v>5731300</v>
      </c>
      <c r="F24" s="9">
        <v>102945568939</v>
      </c>
      <c r="G24" s="9">
        <v>10480739</v>
      </c>
      <c r="H24" s="9">
        <v>179472281677</v>
      </c>
      <c r="I24" s="9">
        <v>14247673</v>
      </c>
      <c r="J24" s="8">
        <v>19500</v>
      </c>
      <c r="K24" s="9">
        <v>248373755759</v>
      </c>
      <c r="L24" s="9">
        <v>276942791346</v>
      </c>
      <c r="M24" s="11">
        <v>0.61</v>
      </c>
    </row>
    <row r="25" spans="1:13" ht="23.1" customHeight="1">
      <c r="A25" s="8" t="s">
        <v>143</v>
      </c>
      <c r="B25" s="9">
        <v>7118080</v>
      </c>
      <c r="C25" s="9">
        <v>116052940072</v>
      </c>
      <c r="D25" s="9">
        <v>103876057061</v>
      </c>
      <c r="E25" s="9">
        <v>6479894</v>
      </c>
      <c r="F25" s="9">
        <v>98410408866</v>
      </c>
      <c r="G25" s="9">
        <v>11412742</v>
      </c>
      <c r="H25" s="9">
        <v>179372664857</v>
      </c>
      <c r="I25" s="9">
        <v>2185232</v>
      </c>
      <c r="J25" s="8">
        <v>17270</v>
      </c>
      <c r="K25" s="9">
        <v>35090684081</v>
      </c>
      <c r="L25" s="9">
        <v>37618493895</v>
      </c>
      <c r="M25" s="11">
        <v>0.08</v>
      </c>
    </row>
    <row r="26" spans="1:13" ht="23.1" customHeight="1">
      <c r="A26" s="8" t="s">
        <v>144</v>
      </c>
      <c r="B26" s="9">
        <v>1530327</v>
      </c>
      <c r="C26" s="9">
        <v>41497443562</v>
      </c>
      <c r="D26" s="9">
        <v>41766607336</v>
      </c>
      <c r="E26" s="9">
        <v>2932846</v>
      </c>
      <c r="F26" s="9">
        <v>96919477986</v>
      </c>
      <c r="G26" s="9">
        <v>3945914</v>
      </c>
      <c r="H26" s="9">
        <v>118451222885</v>
      </c>
      <c r="I26" s="9">
        <v>517259</v>
      </c>
      <c r="J26" s="8">
        <v>40290</v>
      </c>
      <c r="K26" s="9">
        <v>19965698663</v>
      </c>
      <c r="L26" s="9">
        <v>20773842669</v>
      </c>
      <c r="M26" s="11">
        <v>0.05</v>
      </c>
    </row>
    <row r="27" spans="1:13" ht="23.1" customHeight="1">
      <c r="A27" s="8" t="s">
        <v>145</v>
      </c>
      <c r="B27" s="9">
        <v>0</v>
      </c>
      <c r="C27" s="9">
        <v>0</v>
      </c>
      <c r="D27" s="9">
        <v>0</v>
      </c>
      <c r="E27" s="9">
        <v>1484334</v>
      </c>
      <c r="F27" s="9">
        <v>118278020306</v>
      </c>
      <c r="G27" s="9">
        <v>992375</v>
      </c>
      <c r="H27" s="9">
        <v>78108339357</v>
      </c>
      <c r="I27" s="9">
        <v>491959</v>
      </c>
      <c r="J27" s="8">
        <v>81390</v>
      </c>
      <c r="K27" s="9">
        <v>40169680949</v>
      </c>
      <c r="L27" s="9">
        <v>39912733599</v>
      </c>
      <c r="M27" s="11">
        <v>0.09</v>
      </c>
    </row>
    <row r="28" spans="1:13" ht="23.1" customHeight="1">
      <c r="A28" s="8" t="s">
        <v>146</v>
      </c>
      <c r="B28" s="9">
        <v>1281241</v>
      </c>
      <c r="C28" s="9">
        <v>51605225906</v>
      </c>
      <c r="D28" s="9">
        <v>51469196535</v>
      </c>
      <c r="E28" s="9">
        <v>938638</v>
      </c>
      <c r="F28" s="9">
        <v>40357692176</v>
      </c>
      <c r="G28" s="9">
        <v>2219879</v>
      </c>
      <c r="H28" s="9">
        <v>91962918082</v>
      </c>
      <c r="I28" s="9">
        <v>0</v>
      </c>
      <c r="J28" s="8">
        <v>0</v>
      </c>
      <c r="K28" s="9">
        <v>0</v>
      </c>
      <c r="L28" s="9">
        <v>0</v>
      </c>
      <c r="M28" s="11">
        <v>0</v>
      </c>
    </row>
    <row r="29" spans="1:13" ht="23.1" customHeight="1">
      <c r="A29" s="8" t="s">
        <v>147</v>
      </c>
      <c r="B29" s="9">
        <v>1761553</v>
      </c>
      <c r="C29" s="9">
        <v>141181328536</v>
      </c>
      <c r="D29" s="9">
        <v>133710566996</v>
      </c>
      <c r="E29" s="9">
        <v>728075</v>
      </c>
      <c r="F29" s="9">
        <v>64366422455</v>
      </c>
      <c r="G29" s="9">
        <v>1986839</v>
      </c>
      <c r="H29" s="9">
        <v>160887441935</v>
      </c>
      <c r="I29" s="9">
        <v>502789</v>
      </c>
      <c r="J29" s="8">
        <v>91851</v>
      </c>
      <c r="K29" s="9">
        <v>44660309056</v>
      </c>
      <c r="L29" s="9">
        <v>46034260542</v>
      </c>
      <c r="M29" s="11">
        <v>0.1</v>
      </c>
    </row>
    <row r="30" spans="1:13" ht="23.1" customHeight="1">
      <c r="A30" s="8" t="s">
        <v>148</v>
      </c>
      <c r="B30" s="9">
        <v>746558</v>
      </c>
      <c r="C30" s="9">
        <v>20285649092</v>
      </c>
      <c r="D30" s="9">
        <v>18600345652</v>
      </c>
      <c r="E30" s="9">
        <v>960000</v>
      </c>
      <c r="F30" s="9">
        <v>27115011135</v>
      </c>
      <c r="G30" s="9">
        <v>846558</v>
      </c>
      <c r="H30" s="9">
        <v>22732704523</v>
      </c>
      <c r="I30" s="9">
        <v>860000</v>
      </c>
      <c r="J30" s="8">
        <v>28842</v>
      </c>
      <c r="K30" s="9">
        <v>24667955704</v>
      </c>
      <c r="L30" s="9">
        <v>24724945254</v>
      </c>
      <c r="M30" s="11">
        <v>0.05</v>
      </c>
    </row>
    <row r="31" spans="1:13" ht="23.1" customHeight="1">
      <c r="A31" s="8" t="s">
        <v>149</v>
      </c>
      <c r="B31" s="9">
        <v>672718847</v>
      </c>
      <c r="C31" s="9">
        <v>9763495048717</v>
      </c>
      <c r="D31" s="9">
        <v>7094646770903</v>
      </c>
      <c r="E31" s="9">
        <v>55091790</v>
      </c>
      <c r="F31" s="9">
        <v>645882621464</v>
      </c>
      <c r="G31" s="9">
        <v>50290960</v>
      </c>
      <c r="H31" s="9">
        <v>725265749276</v>
      </c>
      <c r="I31" s="9">
        <v>677519677</v>
      </c>
      <c r="J31" s="8">
        <v>12250</v>
      </c>
      <c r="K31" s="9">
        <v>9684111920905</v>
      </c>
      <c r="L31" s="9">
        <v>8273123668841</v>
      </c>
      <c r="M31" s="11">
        <v>18.14</v>
      </c>
    </row>
    <row r="32" spans="1:13" ht="23.1" customHeight="1">
      <c r="A32" s="8" t="s">
        <v>150</v>
      </c>
      <c r="B32" s="9">
        <v>15249814</v>
      </c>
      <c r="C32" s="9">
        <v>527996007079</v>
      </c>
      <c r="D32" s="9">
        <v>394773517341</v>
      </c>
      <c r="E32" s="9">
        <v>2446335</v>
      </c>
      <c r="F32" s="9">
        <v>63506335426</v>
      </c>
      <c r="G32" s="9">
        <v>4729200</v>
      </c>
      <c r="H32" s="9">
        <v>161033009299</v>
      </c>
      <c r="I32" s="9">
        <v>12966949</v>
      </c>
      <c r="J32" s="8">
        <v>28200</v>
      </c>
      <c r="K32" s="9">
        <v>430469333206</v>
      </c>
      <c r="L32" s="9">
        <v>364500749668</v>
      </c>
      <c r="M32" s="11">
        <v>0.8</v>
      </c>
    </row>
    <row r="33" spans="1:13" ht="23.1" customHeight="1">
      <c r="A33" s="8" t="s">
        <v>151</v>
      </c>
      <c r="B33" s="9">
        <v>454583857</v>
      </c>
      <c r="C33" s="9">
        <v>4736725633363</v>
      </c>
      <c r="D33" s="9">
        <v>4114446053985</v>
      </c>
      <c r="E33" s="9">
        <v>19103647</v>
      </c>
      <c r="F33" s="9">
        <v>194454376272</v>
      </c>
      <c r="G33" s="9">
        <v>20812768</v>
      </c>
      <c r="H33" s="9">
        <v>216756415675</v>
      </c>
      <c r="I33" s="9">
        <v>452874736</v>
      </c>
      <c r="J33" s="8">
        <v>10260</v>
      </c>
      <c r="K33" s="9">
        <v>4714423593960</v>
      </c>
      <c r="L33" s="9">
        <v>4631663179991</v>
      </c>
      <c r="M33" s="11">
        <v>10.16</v>
      </c>
    </row>
    <row r="34" spans="1:13" ht="23.1" customHeight="1">
      <c r="A34" s="8" t="s">
        <v>152</v>
      </c>
      <c r="B34" s="9">
        <v>266268457</v>
      </c>
      <c r="C34" s="9">
        <v>2201102238874</v>
      </c>
      <c r="D34" s="9">
        <v>1823690706477</v>
      </c>
      <c r="E34" s="9">
        <v>40364152</v>
      </c>
      <c r="F34" s="9">
        <v>303255843080</v>
      </c>
      <c r="G34" s="9">
        <v>39002793</v>
      </c>
      <c r="H34" s="9">
        <v>321330307474</v>
      </c>
      <c r="I34" s="9">
        <v>267629816</v>
      </c>
      <c r="J34" s="8">
        <v>7585</v>
      </c>
      <c r="K34" s="9">
        <v>2183027774480</v>
      </c>
      <c r="L34" s="9">
        <v>2023492483246</v>
      </c>
      <c r="M34" s="11">
        <v>4.4400000000000004</v>
      </c>
    </row>
    <row r="35" spans="1:13" ht="23.1" customHeight="1">
      <c r="A35" s="8" t="s">
        <v>153</v>
      </c>
      <c r="B35" s="9">
        <v>2443804</v>
      </c>
      <c r="C35" s="9">
        <v>73518931561</v>
      </c>
      <c r="D35" s="9">
        <v>84480597140</v>
      </c>
      <c r="E35" s="9">
        <v>7158315</v>
      </c>
      <c r="F35" s="9">
        <v>93743299468</v>
      </c>
      <c r="G35" s="9">
        <v>1015515</v>
      </c>
      <c r="H35" s="9">
        <v>31163155052</v>
      </c>
      <c r="I35" s="9">
        <v>8586604</v>
      </c>
      <c r="J35" s="8">
        <v>32020</v>
      </c>
      <c r="K35" s="9">
        <v>264753173798</v>
      </c>
      <c r="L35" s="9">
        <v>274069576090</v>
      </c>
      <c r="M35" s="11">
        <v>0.6</v>
      </c>
    </row>
    <row r="36" spans="1:13" ht="23.1" customHeight="1">
      <c r="A36" s="8" t="s">
        <v>154</v>
      </c>
      <c r="B36" s="9">
        <v>1482180</v>
      </c>
      <c r="C36" s="9">
        <v>63926566054</v>
      </c>
      <c r="D36" s="9">
        <v>55766308032</v>
      </c>
      <c r="E36" s="9">
        <v>751648</v>
      </c>
      <c r="F36" s="9">
        <v>38822732657</v>
      </c>
      <c r="G36" s="9">
        <v>1784947</v>
      </c>
      <c r="H36" s="9">
        <v>77732930639</v>
      </c>
      <c r="I36" s="9">
        <v>448881</v>
      </c>
      <c r="J36" s="8">
        <v>55815</v>
      </c>
      <c r="K36" s="9">
        <v>25016368072</v>
      </c>
      <c r="L36" s="9">
        <v>24974319714</v>
      </c>
      <c r="M36" s="11">
        <v>0.05</v>
      </c>
    </row>
    <row r="37" spans="1:13" ht="23.1" customHeight="1">
      <c r="A37" s="8" t="s">
        <v>155</v>
      </c>
      <c r="B37" s="9">
        <v>2345049</v>
      </c>
      <c r="C37" s="9">
        <v>112102500324</v>
      </c>
      <c r="D37" s="9">
        <v>120178819992</v>
      </c>
      <c r="E37" s="9">
        <v>1402591</v>
      </c>
      <c r="F37" s="9">
        <v>65902356447</v>
      </c>
      <c r="G37" s="9">
        <v>200471</v>
      </c>
      <c r="H37" s="9">
        <v>9590433722</v>
      </c>
      <c r="I37" s="9">
        <v>3547169</v>
      </c>
      <c r="J37" s="8">
        <v>45763</v>
      </c>
      <c r="K37" s="9">
        <v>168414423049</v>
      </c>
      <c r="L37" s="9">
        <v>161810940479</v>
      </c>
      <c r="M37" s="11">
        <v>0.35</v>
      </c>
    </row>
    <row r="38" spans="1:13" ht="23.1" customHeight="1">
      <c r="A38" s="8" t="s">
        <v>156</v>
      </c>
      <c r="B38" s="9">
        <v>3206864</v>
      </c>
      <c r="C38" s="9">
        <v>173133747942</v>
      </c>
      <c r="D38" s="9">
        <v>163795202843</v>
      </c>
      <c r="E38" s="9">
        <v>1731026</v>
      </c>
      <c r="F38" s="9">
        <v>84604741740</v>
      </c>
      <c r="G38" s="9">
        <v>1126261</v>
      </c>
      <c r="H38" s="9">
        <v>60524928090</v>
      </c>
      <c r="I38" s="9">
        <v>3811629</v>
      </c>
      <c r="J38" s="8">
        <v>46600</v>
      </c>
      <c r="K38" s="9">
        <v>197213561592</v>
      </c>
      <c r="L38" s="9">
        <v>177054942263</v>
      </c>
      <c r="M38" s="11">
        <v>0.39</v>
      </c>
    </row>
    <row r="39" spans="1:13" ht="23.1" customHeight="1">
      <c r="A39" s="8" t="s">
        <v>157</v>
      </c>
      <c r="B39" s="9">
        <v>7475490</v>
      </c>
      <c r="C39" s="9">
        <v>379625509369</v>
      </c>
      <c r="D39" s="9">
        <v>366769141775</v>
      </c>
      <c r="E39" s="9">
        <v>1115115</v>
      </c>
      <c r="F39" s="9">
        <v>51655230991</v>
      </c>
      <c r="G39" s="9">
        <v>680067</v>
      </c>
      <c r="H39" s="9">
        <v>34405841974</v>
      </c>
      <c r="I39" s="9">
        <v>7910538</v>
      </c>
      <c r="J39" s="8">
        <v>45830</v>
      </c>
      <c r="K39" s="9">
        <v>396874898386</v>
      </c>
      <c r="L39" s="9">
        <v>361382729004</v>
      </c>
      <c r="M39" s="11">
        <v>0.79</v>
      </c>
    </row>
    <row r="40" spans="1:13" ht="23.1" customHeight="1">
      <c r="A40" s="8" t="s">
        <v>158</v>
      </c>
      <c r="B40" s="9">
        <v>1738676</v>
      </c>
      <c r="C40" s="9">
        <v>42641073578</v>
      </c>
      <c r="D40" s="9">
        <v>40312514164</v>
      </c>
      <c r="E40" s="9">
        <v>3293661</v>
      </c>
      <c r="F40" s="9">
        <v>82738089969</v>
      </c>
      <c r="G40" s="9">
        <v>4170631</v>
      </c>
      <c r="H40" s="9">
        <v>104008880339</v>
      </c>
      <c r="I40" s="9">
        <v>861706</v>
      </c>
      <c r="J40" s="8">
        <v>26120</v>
      </c>
      <c r="K40" s="9">
        <v>21370283208</v>
      </c>
      <c r="L40" s="9">
        <v>22435915950</v>
      </c>
      <c r="M40" s="11">
        <v>0.05</v>
      </c>
    </row>
    <row r="41" spans="1:13" ht="23.1" customHeight="1">
      <c r="A41" s="8" t="s">
        <v>159</v>
      </c>
      <c r="B41" s="9">
        <v>0</v>
      </c>
      <c r="C41" s="9">
        <v>0</v>
      </c>
      <c r="D41" s="9">
        <v>0</v>
      </c>
      <c r="E41" s="9">
        <v>100000000</v>
      </c>
      <c r="F41" s="9">
        <v>2236580000000</v>
      </c>
      <c r="G41" s="9">
        <v>8000000</v>
      </c>
      <c r="H41" s="9">
        <v>174473979380</v>
      </c>
      <c r="I41" s="9">
        <v>92000000</v>
      </c>
      <c r="J41" s="8">
        <v>24713</v>
      </c>
      <c r="K41" s="9">
        <v>2062106020620</v>
      </c>
      <c r="L41" s="9">
        <v>2266338681569</v>
      </c>
      <c r="M41" s="11">
        <v>4.97</v>
      </c>
    </row>
    <row r="42" spans="1:13" ht="23.1" customHeight="1">
      <c r="A42" s="8" t="s">
        <v>160</v>
      </c>
      <c r="B42" s="9">
        <v>10514637</v>
      </c>
      <c r="C42" s="9">
        <v>386010798980</v>
      </c>
      <c r="D42" s="9">
        <v>370495494680</v>
      </c>
      <c r="E42" s="9">
        <v>2205655</v>
      </c>
      <c r="F42" s="9">
        <v>84385886167</v>
      </c>
      <c r="G42" s="9">
        <v>2204412</v>
      </c>
      <c r="H42" s="9">
        <v>81032309705</v>
      </c>
      <c r="I42" s="9">
        <v>10515880</v>
      </c>
      <c r="J42" s="8">
        <v>37459</v>
      </c>
      <c r="K42" s="9">
        <v>389364375442</v>
      </c>
      <c r="L42" s="9">
        <v>392656974322</v>
      </c>
      <c r="M42" s="11">
        <v>0.86</v>
      </c>
    </row>
    <row r="43" spans="1:13" ht="23.1" customHeight="1">
      <c r="A43" s="8" t="s">
        <v>161</v>
      </c>
      <c r="B43" s="9">
        <v>10642989</v>
      </c>
      <c r="C43" s="9">
        <v>205182566554</v>
      </c>
      <c r="D43" s="9">
        <v>197539888708</v>
      </c>
      <c r="E43" s="9">
        <v>8212157</v>
      </c>
      <c r="F43" s="9">
        <v>163132446475</v>
      </c>
      <c r="G43" s="9">
        <v>5908839</v>
      </c>
      <c r="H43" s="9">
        <v>113821611513</v>
      </c>
      <c r="I43" s="9">
        <v>12946307</v>
      </c>
      <c r="J43" s="8">
        <v>19690</v>
      </c>
      <c r="K43" s="9">
        <v>254493401516</v>
      </c>
      <c r="L43" s="9">
        <v>254099103225</v>
      </c>
      <c r="M43" s="11">
        <v>0.56000000000000005</v>
      </c>
    </row>
    <row r="44" spans="1:13" ht="23.1" customHeight="1">
      <c r="A44" s="8" t="s">
        <v>162</v>
      </c>
      <c r="B44" s="9">
        <v>8491293</v>
      </c>
      <c r="C44" s="9">
        <v>375358886294</v>
      </c>
      <c r="D44" s="9">
        <v>312023855659</v>
      </c>
      <c r="E44" s="9">
        <v>7990115</v>
      </c>
      <c r="F44" s="9">
        <v>287274420094</v>
      </c>
      <c r="G44" s="9">
        <v>7711111</v>
      </c>
      <c r="H44" s="9">
        <v>321317819774</v>
      </c>
      <c r="I44" s="9">
        <v>8770297</v>
      </c>
      <c r="J44" s="8">
        <v>39677</v>
      </c>
      <c r="K44" s="9">
        <v>341315486614</v>
      </c>
      <c r="L44" s="9">
        <v>346868324868</v>
      </c>
      <c r="M44" s="11">
        <v>0.76</v>
      </c>
    </row>
    <row r="45" spans="1:13" ht="23.1" customHeight="1">
      <c r="A45" s="8" t="s">
        <v>163</v>
      </c>
      <c r="B45" s="9">
        <v>3877240</v>
      </c>
      <c r="C45" s="9">
        <v>257685601414</v>
      </c>
      <c r="D45" s="9">
        <v>224973724708</v>
      </c>
      <c r="E45" s="9">
        <v>1091168</v>
      </c>
      <c r="F45" s="9">
        <v>61052611611</v>
      </c>
      <c r="G45" s="9">
        <v>1536056</v>
      </c>
      <c r="H45" s="9">
        <v>99206451404</v>
      </c>
      <c r="I45" s="9">
        <v>3432352</v>
      </c>
      <c r="J45" s="8">
        <v>68670</v>
      </c>
      <c r="K45" s="9">
        <v>219531761621</v>
      </c>
      <c r="L45" s="9">
        <v>234947258682</v>
      </c>
      <c r="M45" s="11">
        <v>0.52</v>
      </c>
    </row>
    <row r="46" spans="1:13" ht="23.1" customHeight="1">
      <c r="A46" s="8" t="s">
        <v>164</v>
      </c>
      <c r="B46" s="9">
        <v>3546301</v>
      </c>
      <c r="C46" s="9">
        <v>169097168365</v>
      </c>
      <c r="D46" s="9">
        <v>139949905996</v>
      </c>
      <c r="E46" s="9">
        <v>1305032</v>
      </c>
      <c r="F46" s="9">
        <v>50002643716</v>
      </c>
      <c r="G46" s="9">
        <v>1464944</v>
      </c>
      <c r="H46" s="9">
        <v>66900084994</v>
      </c>
      <c r="I46" s="9">
        <v>3386389</v>
      </c>
      <c r="J46" s="8">
        <v>41860</v>
      </c>
      <c r="K46" s="9">
        <v>152199727087</v>
      </c>
      <c r="L46" s="9">
        <v>141301763998</v>
      </c>
      <c r="M46" s="11">
        <v>0.31</v>
      </c>
    </row>
    <row r="47" spans="1:13" ht="23.1" customHeight="1">
      <c r="A47" s="8" t="s">
        <v>165</v>
      </c>
      <c r="B47" s="9">
        <v>0</v>
      </c>
      <c r="C47" s="9">
        <v>0</v>
      </c>
      <c r="D47" s="9">
        <v>0</v>
      </c>
      <c r="E47" s="9">
        <v>6932788</v>
      </c>
      <c r="F47" s="9">
        <v>146746196901</v>
      </c>
      <c r="G47" s="9">
        <v>4290905</v>
      </c>
      <c r="H47" s="9">
        <v>90943546916</v>
      </c>
      <c r="I47" s="9">
        <v>2641883</v>
      </c>
      <c r="J47" s="8">
        <v>23720</v>
      </c>
      <c r="K47" s="9">
        <v>55802649985</v>
      </c>
      <c r="L47" s="9">
        <v>62465436599</v>
      </c>
      <c r="M47" s="11">
        <v>0.14000000000000001</v>
      </c>
    </row>
    <row r="48" spans="1:13" ht="23.1" customHeight="1">
      <c r="A48" s="8" t="s">
        <v>166</v>
      </c>
      <c r="B48" s="9">
        <v>209765</v>
      </c>
      <c r="C48" s="9">
        <v>8911632281</v>
      </c>
      <c r="D48" s="9">
        <v>10507463558</v>
      </c>
      <c r="E48" s="9">
        <v>1092631</v>
      </c>
      <c r="F48" s="9">
        <v>53956309128</v>
      </c>
      <c r="G48" s="9">
        <v>631333</v>
      </c>
      <c r="H48" s="9">
        <v>29836383007</v>
      </c>
      <c r="I48" s="9">
        <v>671063</v>
      </c>
      <c r="J48" s="8">
        <v>51339</v>
      </c>
      <c r="K48" s="9">
        <v>33031558402</v>
      </c>
      <c r="L48" s="9">
        <v>34341733523</v>
      </c>
      <c r="M48" s="11">
        <v>0.08</v>
      </c>
    </row>
    <row r="49" spans="1:13" ht="23.1" customHeight="1">
      <c r="A49" s="8" t="s">
        <v>167</v>
      </c>
      <c r="B49" s="9">
        <v>1976352</v>
      </c>
      <c r="C49" s="9">
        <v>107700146649</v>
      </c>
      <c r="D49" s="9">
        <v>96240564306</v>
      </c>
      <c r="E49" s="9">
        <v>801911</v>
      </c>
      <c r="F49" s="9">
        <v>43510648600</v>
      </c>
      <c r="G49" s="9">
        <v>2229693</v>
      </c>
      <c r="H49" s="9">
        <v>120084291594</v>
      </c>
      <c r="I49" s="9">
        <v>548570</v>
      </c>
      <c r="J49" s="8">
        <v>64341</v>
      </c>
      <c r="K49" s="9">
        <v>31126503655</v>
      </c>
      <c r="L49" s="9">
        <v>35182879001</v>
      </c>
      <c r="M49" s="11">
        <v>0.08</v>
      </c>
    </row>
    <row r="50" spans="1:13" ht="23.1" customHeight="1">
      <c r="A50" s="8" t="s">
        <v>168</v>
      </c>
      <c r="B50" s="9">
        <v>1724839</v>
      </c>
      <c r="C50" s="9">
        <v>64641031637</v>
      </c>
      <c r="D50" s="9">
        <v>60761239317</v>
      </c>
      <c r="E50" s="9">
        <v>2928387</v>
      </c>
      <c r="F50" s="9">
        <v>91681198942</v>
      </c>
      <c r="G50" s="9">
        <v>2876169</v>
      </c>
      <c r="H50" s="9">
        <v>99481986755</v>
      </c>
      <c r="I50" s="9">
        <v>1777057</v>
      </c>
      <c r="J50" s="8">
        <v>31590</v>
      </c>
      <c r="K50" s="9">
        <v>56840243824</v>
      </c>
      <c r="L50" s="9">
        <v>55958040592</v>
      </c>
      <c r="M50" s="11">
        <v>0.12</v>
      </c>
    </row>
    <row r="51" spans="1:13" ht="23.1" customHeight="1">
      <c r="A51" s="8" t="s">
        <v>169</v>
      </c>
      <c r="B51" s="9">
        <v>22858669</v>
      </c>
      <c r="C51" s="9">
        <v>134926882596</v>
      </c>
      <c r="D51" s="9">
        <v>122404802582</v>
      </c>
      <c r="E51" s="9">
        <v>25725452</v>
      </c>
      <c r="F51" s="9">
        <v>124194234543</v>
      </c>
      <c r="G51" s="9">
        <v>15223026</v>
      </c>
      <c r="H51" s="9">
        <v>84492179993</v>
      </c>
      <c r="I51" s="9">
        <v>33361095</v>
      </c>
      <c r="J51" s="8">
        <v>4213</v>
      </c>
      <c r="K51" s="9">
        <v>174628937146</v>
      </c>
      <c r="L51" s="9">
        <v>140101656700</v>
      </c>
      <c r="M51" s="11">
        <v>0.31</v>
      </c>
    </row>
    <row r="52" spans="1:13" ht="23.1" customHeight="1">
      <c r="A52" s="8" t="s">
        <v>170</v>
      </c>
      <c r="B52" s="9">
        <v>24160976</v>
      </c>
      <c r="C52" s="9">
        <v>1422378127704</v>
      </c>
      <c r="D52" s="9">
        <v>1135312885323</v>
      </c>
      <c r="E52" s="9">
        <v>1533937</v>
      </c>
      <c r="F52" s="9">
        <v>73459430035</v>
      </c>
      <c r="G52" s="9">
        <v>905448</v>
      </c>
      <c r="H52" s="9">
        <v>53157193512</v>
      </c>
      <c r="I52" s="9">
        <v>24789465</v>
      </c>
      <c r="J52" s="8">
        <v>45010</v>
      </c>
      <c r="K52" s="9">
        <v>1442680364227</v>
      </c>
      <c r="L52" s="9">
        <v>1112212269621</v>
      </c>
      <c r="M52" s="11">
        <v>2.44</v>
      </c>
    </row>
    <row r="53" spans="1:13" ht="23.1" customHeight="1">
      <c r="A53" s="8" t="s">
        <v>171</v>
      </c>
      <c r="B53" s="9">
        <v>2188158</v>
      </c>
      <c r="C53" s="9">
        <v>83104334028</v>
      </c>
      <c r="D53" s="9">
        <v>77758831702</v>
      </c>
      <c r="E53" s="9">
        <v>3090725</v>
      </c>
      <c r="F53" s="9">
        <v>143170019977</v>
      </c>
      <c r="G53" s="9">
        <v>3263689</v>
      </c>
      <c r="H53" s="9">
        <v>125856012991</v>
      </c>
      <c r="I53" s="9">
        <v>2015194</v>
      </c>
      <c r="J53" s="8">
        <v>49220</v>
      </c>
      <c r="K53" s="9">
        <v>100418341014</v>
      </c>
      <c r="L53" s="9">
        <v>98871241071</v>
      </c>
      <c r="M53" s="11">
        <v>0.22</v>
      </c>
    </row>
    <row r="54" spans="1:13" ht="23.1" customHeight="1">
      <c r="A54" s="8" t="s">
        <v>172</v>
      </c>
      <c r="B54" s="9">
        <v>906280</v>
      </c>
      <c r="C54" s="9">
        <v>53923325430</v>
      </c>
      <c r="D54" s="9">
        <v>52111887995</v>
      </c>
      <c r="E54" s="9">
        <v>2667533</v>
      </c>
      <c r="F54" s="9">
        <v>137103400691</v>
      </c>
      <c r="G54" s="9">
        <v>677643</v>
      </c>
      <c r="H54" s="9">
        <v>38542515574</v>
      </c>
      <c r="I54" s="9">
        <v>2896170</v>
      </c>
      <c r="J54" s="8">
        <v>46939</v>
      </c>
      <c r="K54" s="9">
        <v>152484210547</v>
      </c>
      <c r="L54" s="9">
        <v>135509392545</v>
      </c>
      <c r="M54" s="11">
        <v>0.3</v>
      </c>
    </row>
    <row r="55" spans="1:13" ht="23.1" customHeight="1">
      <c r="A55" s="8" t="s">
        <v>173</v>
      </c>
      <c r="B55" s="9">
        <v>5049044</v>
      </c>
      <c r="C55" s="9">
        <v>711432274548</v>
      </c>
      <c r="D55" s="9">
        <v>584222218579</v>
      </c>
      <c r="E55" s="9">
        <v>622285</v>
      </c>
      <c r="F55" s="9">
        <v>70962111930</v>
      </c>
      <c r="G55" s="9">
        <v>489678</v>
      </c>
      <c r="H55" s="9">
        <v>68538554032</v>
      </c>
      <c r="I55" s="9">
        <v>5181651</v>
      </c>
      <c r="J55" s="8">
        <v>107670</v>
      </c>
      <c r="K55" s="9">
        <v>713855832446</v>
      </c>
      <c r="L55" s="9">
        <v>556127519677</v>
      </c>
      <c r="M55" s="11">
        <v>1.22</v>
      </c>
    </row>
    <row r="56" spans="1:13" ht="23.1" customHeight="1">
      <c r="A56" s="8" t="s">
        <v>174</v>
      </c>
      <c r="B56" s="9">
        <v>0</v>
      </c>
      <c r="C56" s="9">
        <v>0</v>
      </c>
      <c r="D56" s="9">
        <v>0</v>
      </c>
      <c r="E56" s="9">
        <v>455641</v>
      </c>
      <c r="F56" s="9">
        <v>109642968077</v>
      </c>
      <c r="G56" s="9">
        <v>155606</v>
      </c>
      <c r="H56" s="9">
        <v>37706094328</v>
      </c>
      <c r="I56" s="9">
        <v>300035</v>
      </c>
      <c r="J56" s="8">
        <v>234230</v>
      </c>
      <c r="K56" s="9">
        <v>71936873749</v>
      </c>
      <c r="L56" s="9">
        <v>70052873237</v>
      </c>
      <c r="M56" s="11">
        <v>0.15</v>
      </c>
    </row>
    <row r="57" spans="1:13" ht="23.1" customHeight="1">
      <c r="A57" s="8" t="s">
        <v>175</v>
      </c>
      <c r="B57" s="9">
        <v>4511203</v>
      </c>
      <c r="C57" s="9">
        <v>133239553896</v>
      </c>
      <c r="D57" s="9">
        <v>124224189509</v>
      </c>
      <c r="E57" s="9">
        <v>1128857</v>
      </c>
      <c r="F57" s="9">
        <v>28937035483</v>
      </c>
      <c r="G57" s="9">
        <v>849527</v>
      </c>
      <c r="H57" s="9">
        <v>24805544690</v>
      </c>
      <c r="I57" s="9">
        <v>4790533</v>
      </c>
      <c r="J57" s="8">
        <v>25561</v>
      </c>
      <c r="K57" s="9">
        <v>137371044689</v>
      </c>
      <c r="L57" s="9">
        <v>122059951018</v>
      </c>
      <c r="M57" s="11">
        <v>0.27</v>
      </c>
    </row>
    <row r="58" spans="1:13" ht="23.1" customHeight="1">
      <c r="A58" s="8" t="s">
        <v>176</v>
      </c>
      <c r="B58" s="9">
        <v>755404</v>
      </c>
      <c r="C58" s="9">
        <v>21496574173</v>
      </c>
      <c r="D58" s="9">
        <v>21821729910</v>
      </c>
      <c r="E58" s="9">
        <v>1964926</v>
      </c>
      <c r="F58" s="9">
        <v>63805724884</v>
      </c>
      <c r="G58" s="9">
        <v>1768730</v>
      </c>
      <c r="H58" s="9">
        <v>50008739119</v>
      </c>
      <c r="I58" s="9">
        <v>951600</v>
      </c>
      <c r="J58" s="8">
        <v>37440</v>
      </c>
      <c r="K58" s="9">
        <v>35293559938</v>
      </c>
      <c r="L58" s="9">
        <v>35514179734</v>
      </c>
      <c r="M58" s="11">
        <v>0.08</v>
      </c>
    </row>
    <row r="59" spans="1:13" ht="23.1" customHeight="1">
      <c r="A59" s="8" t="s">
        <v>177</v>
      </c>
      <c r="B59" s="9">
        <v>1441409</v>
      </c>
      <c r="C59" s="9">
        <v>61957777123</v>
      </c>
      <c r="D59" s="9">
        <v>59006831871</v>
      </c>
      <c r="E59" s="9">
        <v>800985</v>
      </c>
      <c r="F59" s="9">
        <v>29999507407</v>
      </c>
      <c r="G59" s="9">
        <v>1163383</v>
      </c>
      <c r="H59" s="9">
        <v>47783167433</v>
      </c>
      <c r="I59" s="9">
        <v>1079011</v>
      </c>
      <c r="J59" s="8">
        <v>31892</v>
      </c>
      <c r="K59" s="9">
        <v>33349564596</v>
      </c>
      <c r="L59" s="9">
        <v>34301976289</v>
      </c>
      <c r="M59" s="11">
        <v>0.08</v>
      </c>
    </row>
    <row r="60" spans="1:13" ht="23.1" customHeight="1">
      <c r="A60" s="8" t="s">
        <v>178</v>
      </c>
      <c r="B60" s="9">
        <v>108049592</v>
      </c>
      <c r="C60" s="9">
        <v>1766085939003</v>
      </c>
      <c r="D60" s="9">
        <v>1643573686941</v>
      </c>
      <c r="E60" s="9">
        <v>6711894</v>
      </c>
      <c r="F60" s="9">
        <v>100901309317</v>
      </c>
      <c r="G60" s="9">
        <v>16174328</v>
      </c>
      <c r="H60" s="9">
        <v>264362322473</v>
      </c>
      <c r="I60" s="9">
        <v>98587158</v>
      </c>
      <c r="J60" s="8">
        <v>15040</v>
      </c>
      <c r="K60" s="9">
        <v>1602624925847</v>
      </c>
      <c r="L60" s="9">
        <v>1478017915589</v>
      </c>
      <c r="M60" s="11">
        <v>3.24</v>
      </c>
    </row>
    <row r="61" spans="1:13" ht="23.1" customHeight="1">
      <c r="A61" s="8" t="s">
        <v>179</v>
      </c>
      <c r="B61" s="9">
        <v>430000</v>
      </c>
      <c r="C61" s="9">
        <v>69597330542</v>
      </c>
      <c r="D61" s="9">
        <v>66895884563</v>
      </c>
      <c r="E61" s="9">
        <v>1230127</v>
      </c>
      <c r="F61" s="9">
        <v>175475756808</v>
      </c>
      <c r="G61" s="9">
        <v>1258306</v>
      </c>
      <c r="H61" s="9">
        <v>183362299902</v>
      </c>
      <c r="I61" s="9">
        <v>401821</v>
      </c>
      <c r="J61" s="8">
        <v>157830</v>
      </c>
      <c r="K61" s="9">
        <v>61710787448</v>
      </c>
      <c r="L61" s="9">
        <v>63216973682</v>
      </c>
      <c r="M61" s="11">
        <v>0.14000000000000001</v>
      </c>
    </row>
    <row r="62" spans="1:13" ht="23.1" customHeight="1">
      <c r="A62" s="8" t="s">
        <v>180</v>
      </c>
      <c r="B62" s="9">
        <v>2422020</v>
      </c>
      <c r="C62" s="9">
        <v>80965008635</v>
      </c>
      <c r="D62" s="9">
        <v>81554679454</v>
      </c>
      <c r="E62" s="9">
        <v>2655817</v>
      </c>
      <c r="F62" s="9">
        <v>100042593477</v>
      </c>
      <c r="G62" s="9">
        <v>4199750</v>
      </c>
      <c r="H62" s="9">
        <v>147789610168</v>
      </c>
      <c r="I62" s="9">
        <v>878087</v>
      </c>
      <c r="J62" s="8">
        <v>43190</v>
      </c>
      <c r="K62" s="9">
        <v>33217991944</v>
      </c>
      <c r="L62" s="9">
        <v>37803522283</v>
      </c>
      <c r="M62" s="11">
        <v>0.08</v>
      </c>
    </row>
    <row r="63" spans="1:13" ht="23.1" customHeight="1">
      <c r="A63" s="8" t="s">
        <v>181</v>
      </c>
      <c r="B63" s="9">
        <v>1718422</v>
      </c>
      <c r="C63" s="9">
        <v>158219249691</v>
      </c>
      <c r="D63" s="9">
        <v>136211021162</v>
      </c>
      <c r="E63" s="9">
        <v>1341217</v>
      </c>
      <c r="F63" s="9">
        <v>111594182144</v>
      </c>
      <c r="G63" s="9">
        <v>1648155</v>
      </c>
      <c r="H63" s="9">
        <v>148743624661</v>
      </c>
      <c r="I63" s="9">
        <v>1411484</v>
      </c>
      <c r="J63" s="8">
        <v>81307</v>
      </c>
      <c r="K63" s="9">
        <v>121069807174</v>
      </c>
      <c r="L63" s="9">
        <v>114397204406</v>
      </c>
      <c r="M63" s="11">
        <v>0.25</v>
      </c>
    </row>
    <row r="64" spans="1:13" ht="23.1" customHeight="1">
      <c r="A64" s="8" t="s">
        <v>182</v>
      </c>
      <c r="B64" s="9">
        <v>304242190</v>
      </c>
      <c r="C64" s="9">
        <v>6974682291872</v>
      </c>
      <c r="D64" s="9">
        <v>5862229375811</v>
      </c>
      <c r="E64" s="9">
        <v>225186821</v>
      </c>
      <c r="F64" s="9">
        <v>4959092038303</v>
      </c>
      <c r="G64" s="9">
        <v>97722144</v>
      </c>
      <c r="H64" s="9">
        <v>2221496307976</v>
      </c>
      <c r="I64" s="9">
        <v>431706867</v>
      </c>
      <c r="J64" s="8">
        <v>22050</v>
      </c>
      <c r="K64" s="9">
        <v>9712278022199</v>
      </c>
      <c r="L64" s="9">
        <v>9488751333908</v>
      </c>
      <c r="M64" s="11">
        <v>20.81</v>
      </c>
    </row>
    <row r="65" spans="1:13" ht="23.1" customHeight="1">
      <c r="A65" s="8" t="s">
        <v>183</v>
      </c>
      <c r="B65" s="9">
        <v>9621789</v>
      </c>
      <c r="C65" s="9">
        <v>687272525012</v>
      </c>
      <c r="D65" s="9">
        <v>602799142284</v>
      </c>
      <c r="E65" s="9">
        <v>343084</v>
      </c>
      <c r="F65" s="9">
        <v>23019952345</v>
      </c>
      <c r="G65" s="9">
        <v>701854</v>
      </c>
      <c r="H65" s="9">
        <v>50102290180</v>
      </c>
      <c r="I65" s="9">
        <v>9263019</v>
      </c>
      <c r="J65" s="8">
        <v>69530</v>
      </c>
      <c r="K65" s="9">
        <v>660190187177</v>
      </c>
      <c r="L65" s="9">
        <v>642001878858</v>
      </c>
      <c r="M65" s="11">
        <v>1.41</v>
      </c>
    </row>
    <row r="66" spans="1:13" ht="23.1" customHeight="1">
      <c r="A66" s="8" t="s">
        <v>184</v>
      </c>
      <c r="B66" s="9">
        <v>11038990</v>
      </c>
      <c r="C66" s="9">
        <v>261121972891</v>
      </c>
      <c r="D66" s="9">
        <v>232410278604</v>
      </c>
      <c r="E66" s="9">
        <v>903615</v>
      </c>
      <c r="F66" s="9">
        <v>20161180176</v>
      </c>
      <c r="G66" s="9">
        <v>1448065</v>
      </c>
      <c r="H66" s="9">
        <v>34230794242</v>
      </c>
      <c r="I66" s="9">
        <v>10494540</v>
      </c>
      <c r="J66" s="8">
        <v>22229</v>
      </c>
      <c r="K66" s="9">
        <v>247052358825</v>
      </c>
      <c r="L66" s="9">
        <v>232538489911</v>
      </c>
      <c r="M66" s="11">
        <v>0.51</v>
      </c>
    </row>
    <row r="67" spans="1:13" ht="23.1" customHeight="1">
      <c r="A67" s="8" t="s">
        <v>185</v>
      </c>
      <c r="B67" s="9">
        <v>4974717</v>
      </c>
      <c r="C67" s="9">
        <v>163367825227</v>
      </c>
      <c r="D67" s="9">
        <v>159525808919</v>
      </c>
      <c r="E67" s="9">
        <v>5286386</v>
      </c>
      <c r="F67" s="9">
        <v>158765110851</v>
      </c>
      <c r="G67" s="9">
        <v>4470342</v>
      </c>
      <c r="H67" s="9">
        <v>141669166223</v>
      </c>
      <c r="I67" s="9">
        <v>5790761</v>
      </c>
      <c r="J67" s="8">
        <v>30780</v>
      </c>
      <c r="K67" s="9">
        <v>180463769855</v>
      </c>
      <c r="L67" s="9">
        <v>177670682706</v>
      </c>
      <c r="M67" s="11">
        <v>0.39</v>
      </c>
    </row>
    <row r="68" spans="1:13" ht="23.1" customHeight="1">
      <c r="A68" s="8" t="s">
        <v>186</v>
      </c>
      <c r="B68" s="9">
        <v>2906242</v>
      </c>
      <c r="C68" s="9">
        <v>133022819183</v>
      </c>
      <c r="D68" s="9">
        <v>112923706442</v>
      </c>
      <c r="E68" s="9">
        <v>706216</v>
      </c>
      <c r="F68" s="9">
        <v>25097039319</v>
      </c>
      <c r="G68" s="9">
        <v>523514</v>
      </c>
      <c r="H68" s="9">
        <v>23422225061</v>
      </c>
      <c r="I68" s="9">
        <v>3088944</v>
      </c>
      <c r="J68" s="8">
        <v>36340</v>
      </c>
      <c r="K68" s="9">
        <v>134697633441</v>
      </c>
      <c r="L68" s="9">
        <v>111893915862</v>
      </c>
      <c r="M68" s="11">
        <v>0.25</v>
      </c>
    </row>
    <row r="69" spans="1:13" ht="23.1" customHeight="1">
      <c r="A69" s="8" t="s">
        <v>187</v>
      </c>
      <c r="B69" s="9">
        <v>1622505</v>
      </c>
      <c r="C69" s="9">
        <v>188951376044</v>
      </c>
      <c r="D69" s="9">
        <v>182046210517</v>
      </c>
      <c r="E69" s="9">
        <v>2281830</v>
      </c>
      <c r="F69" s="9">
        <v>301673309654</v>
      </c>
      <c r="G69" s="9">
        <v>2791276</v>
      </c>
      <c r="H69" s="9">
        <v>331496089125</v>
      </c>
      <c r="I69" s="9">
        <v>1113059</v>
      </c>
      <c r="J69" s="8">
        <v>140134</v>
      </c>
      <c r="K69" s="9">
        <v>159128596573</v>
      </c>
      <c r="L69" s="9">
        <v>155479530017</v>
      </c>
      <c r="M69" s="11">
        <v>0.34</v>
      </c>
    </row>
    <row r="70" spans="1:13" ht="23.1" customHeight="1">
      <c r="A70" s="8" t="s">
        <v>188</v>
      </c>
      <c r="B70" s="9">
        <v>45399584</v>
      </c>
      <c r="C70" s="9">
        <v>198499424244</v>
      </c>
      <c r="D70" s="9">
        <v>186449234339</v>
      </c>
      <c r="E70" s="9">
        <v>12898259</v>
      </c>
      <c r="F70" s="9">
        <v>47577711079</v>
      </c>
      <c r="G70" s="9">
        <v>28004187</v>
      </c>
      <c r="H70" s="9">
        <v>119306167089</v>
      </c>
      <c r="I70" s="9">
        <v>30293656</v>
      </c>
      <c r="J70" s="8">
        <v>3890</v>
      </c>
      <c r="K70" s="9">
        <v>126770968234</v>
      </c>
      <c r="L70" s="9">
        <v>117466169152</v>
      </c>
      <c r="M70" s="11">
        <v>0.26</v>
      </c>
    </row>
    <row r="71" spans="1:13" ht="23.1" customHeight="1">
      <c r="A71" s="8" t="s">
        <v>189</v>
      </c>
      <c r="B71" s="9">
        <v>1761142</v>
      </c>
      <c r="C71" s="9">
        <v>29935213283</v>
      </c>
      <c r="D71" s="9">
        <v>29914068211</v>
      </c>
      <c r="E71" s="9">
        <v>668383</v>
      </c>
      <c r="F71" s="9">
        <v>10392492476</v>
      </c>
      <c r="G71" s="9">
        <v>0</v>
      </c>
      <c r="H71" s="9">
        <v>0</v>
      </c>
      <c r="I71" s="9">
        <v>2429525</v>
      </c>
      <c r="J71" s="8">
        <v>14568</v>
      </c>
      <c r="K71" s="9">
        <v>40327705759</v>
      </c>
      <c r="L71" s="9">
        <v>35280344726</v>
      </c>
      <c r="M71" s="11">
        <v>0.08</v>
      </c>
    </row>
    <row r="72" spans="1:13" ht="23.1" customHeight="1">
      <c r="A72" s="8" t="s">
        <v>190</v>
      </c>
      <c r="B72" s="9">
        <v>13759195</v>
      </c>
      <c r="C72" s="9">
        <v>247108128010</v>
      </c>
      <c r="D72" s="9">
        <v>220267326935</v>
      </c>
      <c r="E72" s="9">
        <v>4610531</v>
      </c>
      <c r="F72" s="9">
        <v>72126263118</v>
      </c>
      <c r="G72" s="9">
        <v>4550925</v>
      </c>
      <c r="H72" s="9">
        <v>80433805005</v>
      </c>
      <c r="I72" s="9">
        <v>13818801</v>
      </c>
      <c r="J72" s="8">
        <v>16000</v>
      </c>
      <c r="K72" s="9">
        <v>238800586123</v>
      </c>
      <c r="L72" s="9">
        <v>220395062199</v>
      </c>
      <c r="M72" s="11">
        <v>0.48</v>
      </c>
    </row>
    <row r="73" spans="1:13" ht="23.1" customHeight="1">
      <c r="A73" s="8" t="s">
        <v>191</v>
      </c>
      <c r="B73" s="9">
        <v>3613750</v>
      </c>
      <c r="C73" s="9">
        <v>155031833510</v>
      </c>
      <c r="D73" s="9">
        <v>134182505399</v>
      </c>
      <c r="E73" s="9">
        <v>1379085</v>
      </c>
      <c r="F73" s="9">
        <v>58446601666</v>
      </c>
      <c r="G73" s="9">
        <v>1804722</v>
      </c>
      <c r="H73" s="9">
        <v>75936756545</v>
      </c>
      <c r="I73" s="9">
        <v>3188113</v>
      </c>
      <c r="J73" s="8">
        <v>45380</v>
      </c>
      <c r="K73" s="9">
        <v>137541678631</v>
      </c>
      <c r="L73" s="9">
        <v>144214760338</v>
      </c>
      <c r="M73" s="11">
        <v>0.32</v>
      </c>
    </row>
    <row r="74" spans="1:13" ht="23.1" customHeight="1">
      <c r="A74" s="8" t="s">
        <v>192</v>
      </c>
      <c r="B74" s="9">
        <v>2583908</v>
      </c>
      <c r="C74" s="9">
        <v>37584582207</v>
      </c>
      <c r="D74" s="9">
        <v>37784934633</v>
      </c>
      <c r="E74" s="9">
        <v>9531316</v>
      </c>
      <c r="F74" s="9">
        <v>148387979708</v>
      </c>
      <c r="G74" s="9">
        <v>11045072</v>
      </c>
      <c r="H74" s="9">
        <v>167883731071</v>
      </c>
      <c r="I74" s="9">
        <v>1070152</v>
      </c>
      <c r="J74" s="8">
        <v>17530</v>
      </c>
      <c r="K74" s="9">
        <v>18088830844</v>
      </c>
      <c r="L74" s="9">
        <v>18699883395</v>
      </c>
      <c r="M74" s="11">
        <v>0.04</v>
      </c>
    </row>
    <row r="75" spans="1:13" ht="23.1" customHeight="1">
      <c r="A75" s="8" t="s">
        <v>193</v>
      </c>
      <c r="B75" s="9">
        <v>2779924</v>
      </c>
      <c r="C75" s="9">
        <v>181961303517</v>
      </c>
      <c r="D75" s="9">
        <v>151437908877</v>
      </c>
      <c r="E75" s="9">
        <v>1184069</v>
      </c>
      <c r="F75" s="9">
        <v>50193327674</v>
      </c>
      <c r="G75" s="9">
        <v>1126398</v>
      </c>
      <c r="H75" s="9">
        <v>62490187115</v>
      </c>
      <c r="I75" s="9">
        <v>2837595</v>
      </c>
      <c r="J75" s="8">
        <v>30150</v>
      </c>
      <c r="K75" s="9">
        <v>96983509293</v>
      </c>
      <c r="L75" s="9">
        <v>85280402516</v>
      </c>
      <c r="M75" s="11">
        <v>0.19</v>
      </c>
    </row>
    <row r="76" spans="1:13" ht="23.1" customHeight="1">
      <c r="A76" s="8" t="s">
        <v>194</v>
      </c>
      <c r="B76" s="9">
        <v>6155832</v>
      </c>
      <c r="C76" s="9">
        <v>314975814697</v>
      </c>
      <c r="D76" s="9">
        <v>294843573177</v>
      </c>
      <c r="E76" s="9">
        <v>1543646</v>
      </c>
      <c r="F76" s="9">
        <v>80001631761</v>
      </c>
      <c r="G76" s="9">
        <v>1823186</v>
      </c>
      <c r="H76" s="9">
        <v>93243464200</v>
      </c>
      <c r="I76" s="9">
        <v>5876292</v>
      </c>
      <c r="J76" s="8">
        <v>51740</v>
      </c>
      <c r="K76" s="9">
        <v>301733982258</v>
      </c>
      <c r="L76" s="9">
        <v>303068854484</v>
      </c>
      <c r="M76" s="11">
        <v>0.66</v>
      </c>
    </row>
    <row r="77" spans="1:13" ht="23.1" customHeight="1">
      <c r="A77" s="8" t="s">
        <v>195</v>
      </c>
      <c r="B77" s="9">
        <v>0</v>
      </c>
      <c r="C77" s="9">
        <v>0</v>
      </c>
      <c r="D77" s="9">
        <v>0</v>
      </c>
      <c r="E77" s="9">
        <v>1394127</v>
      </c>
      <c r="F77" s="9">
        <v>18960121931</v>
      </c>
      <c r="G77" s="9">
        <v>1350751</v>
      </c>
      <c r="H77" s="9">
        <v>18306665163</v>
      </c>
      <c r="I77" s="9">
        <v>43376</v>
      </c>
      <c r="J77" s="8">
        <v>15340</v>
      </c>
      <c r="K77" s="9">
        <v>653456768</v>
      </c>
      <c r="L77" s="9">
        <v>663263925</v>
      </c>
      <c r="M77" s="11">
        <v>0</v>
      </c>
    </row>
    <row r="78" spans="1:13" ht="23.1" customHeight="1">
      <c r="A78" s="8" t="s">
        <v>196</v>
      </c>
      <c r="B78" s="9">
        <v>4249189</v>
      </c>
      <c r="C78" s="9">
        <v>76907382962</v>
      </c>
      <c r="D78" s="9">
        <v>70989084870</v>
      </c>
      <c r="E78" s="9">
        <v>5341212</v>
      </c>
      <c r="F78" s="9">
        <v>102183799991</v>
      </c>
      <c r="G78" s="9">
        <v>5860479</v>
      </c>
      <c r="H78" s="9">
        <v>106278585315</v>
      </c>
      <c r="I78" s="9">
        <v>3729922</v>
      </c>
      <c r="J78" s="8">
        <v>21170</v>
      </c>
      <c r="K78" s="9">
        <v>72812597638</v>
      </c>
      <c r="L78" s="9">
        <v>78710400607</v>
      </c>
      <c r="M78" s="11">
        <v>0.17</v>
      </c>
    </row>
    <row r="79" spans="1:13" ht="23.1" customHeight="1">
      <c r="A79" s="8" t="s">
        <v>197</v>
      </c>
      <c r="B79" s="9">
        <v>535738</v>
      </c>
      <c r="C79" s="9">
        <v>56812803572</v>
      </c>
      <c r="D79" s="9">
        <v>58209043752</v>
      </c>
      <c r="E79" s="9">
        <v>924438</v>
      </c>
      <c r="F79" s="9">
        <v>134732949005</v>
      </c>
      <c r="G79" s="9">
        <v>851273</v>
      </c>
      <c r="H79" s="9">
        <v>100068972931</v>
      </c>
      <c r="I79" s="9">
        <v>608903</v>
      </c>
      <c r="J79" s="8">
        <v>148000</v>
      </c>
      <c r="K79" s="9">
        <v>91476779646</v>
      </c>
      <c r="L79" s="9">
        <v>89829988484</v>
      </c>
      <c r="M79" s="11">
        <v>0.2</v>
      </c>
    </row>
    <row r="80" spans="1:13" ht="23.1" customHeight="1">
      <c r="A80" s="8" t="s">
        <v>198</v>
      </c>
      <c r="B80" s="9">
        <v>523368</v>
      </c>
      <c r="C80" s="9">
        <v>68983424393</v>
      </c>
      <c r="D80" s="9">
        <v>66579023384</v>
      </c>
      <c r="E80" s="9">
        <v>1168554</v>
      </c>
      <c r="F80" s="9">
        <v>171574841192</v>
      </c>
      <c r="G80" s="9">
        <v>1311401</v>
      </c>
      <c r="H80" s="9">
        <v>175118328000</v>
      </c>
      <c r="I80" s="9">
        <v>380521</v>
      </c>
      <c r="J80" s="8">
        <v>170510</v>
      </c>
      <c r="K80" s="9">
        <v>65439937585</v>
      </c>
      <c r="L80" s="9">
        <v>64675530340</v>
      </c>
      <c r="M80" s="11">
        <v>0.14000000000000001</v>
      </c>
    </row>
    <row r="81" spans="1:13" ht="23.1" customHeight="1">
      <c r="A81" s="8" t="s">
        <v>199</v>
      </c>
      <c r="B81" s="9">
        <v>4949007</v>
      </c>
      <c r="C81" s="9">
        <v>1550676364603</v>
      </c>
      <c r="D81" s="9">
        <v>1269216209540</v>
      </c>
      <c r="E81" s="9">
        <v>221740</v>
      </c>
      <c r="F81" s="9">
        <v>62671199498</v>
      </c>
      <c r="G81" s="9">
        <v>371247</v>
      </c>
      <c r="H81" s="9">
        <v>116233515174</v>
      </c>
      <c r="I81" s="9">
        <v>4799500</v>
      </c>
      <c r="J81" s="8">
        <v>288740</v>
      </c>
      <c r="K81" s="9">
        <v>1497114048927</v>
      </c>
      <c r="L81" s="9">
        <v>1381384132047</v>
      </c>
      <c r="M81" s="11">
        <v>3.03</v>
      </c>
    </row>
    <row r="82" spans="1:13" ht="23.1" customHeight="1">
      <c r="A82" s="8" t="s">
        <v>200</v>
      </c>
      <c r="B82" s="9">
        <v>3427394</v>
      </c>
      <c r="C82" s="9">
        <v>118428072310</v>
      </c>
      <c r="D82" s="9">
        <v>106026225940</v>
      </c>
      <c r="E82" s="9">
        <v>1184599</v>
      </c>
      <c r="F82" s="9">
        <v>32316610311</v>
      </c>
      <c r="G82" s="9">
        <v>781774</v>
      </c>
      <c r="H82" s="9">
        <v>25681250745</v>
      </c>
      <c r="I82" s="9">
        <v>3830219</v>
      </c>
      <c r="J82" s="8">
        <v>27408</v>
      </c>
      <c r="K82" s="9">
        <v>125063431876</v>
      </c>
      <c r="L82" s="9">
        <v>104643550529</v>
      </c>
      <c r="M82" s="11">
        <v>0.23</v>
      </c>
    </row>
    <row r="83" spans="1:13" ht="23.1" customHeight="1">
      <c r="A83" s="8" t="s">
        <v>201</v>
      </c>
      <c r="B83" s="9">
        <v>8862427</v>
      </c>
      <c r="C83" s="9">
        <v>608272184330</v>
      </c>
      <c r="D83" s="9">
        <v>465673923410</v>
      </c>
      <c r="E83" s="9">
        <v>6608071</v>
      </c>
      <c r="F83" s="9">
        <v>391580038855</v>
      </c>
      <c r="G83" s="9">
        <v>8216804</v>
      </c>
      <c r="H83" s="9">
        <v>548062102916</v>
      </c>
      <c r="I83" s="9">
        <v>7253694</v>
      </c>
      <c r="J83" s="8">
        <v>60660</v>
      </c>
      <c r="K83" s="9">
        <v>451790120269</v>
      </c>
      <c r="L83" s="9">
        <v>438604569067</v>
      </c>
      <c r="M83" s="11">
        <v>0.96</v>
      </c>
    </row>
    <row r="84" spans="1:13" ht="23.1" customHeight="1">
      <c r="A84" s="8" t="s">
        <v>202</v>
      </c>
      <c r="B84" s="9">
        <v>3643183</v>
      </c>
      <c r="C84" s="9">
        <v>85356174822</v>
      </c>
      <c r="D84" s="9">
        <v>81128915469</v>
      </c>
      <c r="E84" s="9">
        <v>3479882</v>
      </c>
      <c r="F84" s="9">
        <v>78922461988</v>
      </c>
      <c r="G84" s="9">
        <v>2276467</v>
      </c>
      <c r="H84" s="9">
        <v>52790112628</v>
      </c>
      <c r="I84" s="9">
        <v>4846598</v>
      </c>
      <c r="J84" s="8">
        <v>23080</v>
      </c>
      <c r="K84" s="9">
        <v>111488524182</v>
      </c>
      <c r="L84" s="9">
        <v>111502426377</v>
      </c>
      <c r="M84" s="11">
        <v>0.24</v>
      </c>
    </row>
    <row r="85" spans="1:13" ht="23.1" customHeight="1">
      <c r="A85" s="8" t="s">
        <v>203</v>
      </c>
      <c r="B85" s="9">
        <v>1064035</v>
      </c>
      <c r="C85" s="9">
        <v>21557170337</v>
      </c>
      <c r="D85" s="9">
        <v>21530963590</v>
      </c>
      <c r="E85" s="9">
        <v>2259240</v>
      </c>
      <c r="F85" s="9">
        <v>41354614039</v>
      </c>
      <c r="G85" s="9">
        <v>1285686</v>
      </c>
      <c r="H85" s="9">
        <v>24815875602</v>
      </c>
      <c r="I85" s="9">
        <v>2037589</v>
      </c>
      <c r="J85" s="8">
        <v>18920</v>
      </c>
      <c r="K85" s="9">
        <v>38095908774</v>
      </c>
      <c r="L85" s="9">
        <v>38428128505</v>
      </c>
      <c r="M85" s="11">
        <v>0.08</v>
      </c>
    </row>
    <row r="86" spans="1:13" ht="23.1" customHeight="1">
      <c r="A86" s="8" t="s">
        <v>204</v>
      </c>
      <c r="B86" s="9">
        <v>6858272</v>
      </c>
      <c r="C86" s="9">
        <v>37726448468</v>
      </c>
      <c r="D86" s="9">
        <v>37798347210</v>
      </c>
      <c r="E86" s="9">
        <v>18443394</v>
      </c>
      <c r="F86" s="9">
        <v>85884020990</v>
      </c>
      <c r="G86" s="9">
        <v>2905867</v>
      </c>
      <c r="H86" s="9">
        <v>14687225471</v>
      </c>
      <c r="I86" s="9">
        <v>22395799</v>
      </c>
      <c r="J86" s="8">
        <v>4151</v>
      </c>
      <c r="K86" s="9">
        <v>108923243987</v>
      </c>
      <c r="L86" s="9">
        <v>92668217493</v>
      </c>
      <c r="M86" s="11">
        <v>0.2</v>
      </c>
    </row>
    <row r="87" spans="1:13" ht="23.1" customHeight="1">
      <c r="A87" s="8" t="s">
        <v>205</v>
      </c>
      <c r="B87" s="9">
        <v>3962144</v>
      </c>
      <c r="C87" s="9">
        <v>113238791348</v>
      </c>
      <c r="D87" s="9">
        <v>123303291233</v>
      </c>
      <c r="E87" s="9">
        <v>450000</v>
      </c>
      <c r="F87" s="9">
        <f>11003162473+4412144000</f>
        <v>15415306473</v>
      </c>
      <c r="G87" s="9">
        <v>4412144</v>
      </c>
      <c r="H87" s="9"/>
      <c r="I87" s="9">
        <v>0</v>
      </c>
      <c r="J87" s="8">
        <v>0</v>
      </c>
      <c r="K87" s="9">
        <v>0</v>
      </c>
      <c r="L87" s="9">
        <v>0</v>
      </c>
      <c r="M87" s="11">
        <v>0</v>
      </c>
    </row>
    <row r="88" spans="1:13" ht="23.1" customHeight="1">
      <c r="A88" s="8" t="s">
        <v>206</v>
      </c>
      <c r="B88" s="9">
        <v>8970024</v>
      </c>
      <c r="C88" s="9">
        <v>93137894467</v>
      </c>
      <c r="D88" s="9">
        <v>87330572574</v>
      </c>
      <c r="E88" s="9">
        <v>0</v>
      </c>
      <c r="F88" s="9">
        <v>0</v>
      </c>
      <c r="G88" s="9">
        <v>0</v>
      </c>
      <c r="H88" s="9">
        <v>0</v>
      </c>
      <c r="I88" s="9">
        <v>8970024</v>
      </c>
      <c r="J88" s="8">
        <v>7718</v>
      </c>
      <c r="K88" s="9">
        <v>93137894467</v>
      </c>
      <c r="L88" s="9">
        <v>69009661015</v>
      </c>
      <c r="M88" s="11">
        <v>0.15</v>
      </c>
    </row>
    <row r="89" spans="1:13" ht="23.1" customHeight="1">
      <c r="A89" s="8" t="s">
        <v>207</v>
      </c>
      <c r="B89" s="9">
        <v>739778</v>
      </c>
      <c r="C89" s="9">
        <v>19388931428</v>
      </c>
      <c r="D89" s="9">
        <v>17798287752</v>
      </c>
      <c r="E89" s="9">
        <v>0</v>
      </c>
      <c r="F89" s="9">
        <v>0</v>
      </c>
      <c r="G89" s="9">
        <v>0</v>
      </c>
      <c r="H89" s="9">
        <v>0</v>
      </c>
      <c r="I89" s="9">
        <v>739778</v>
      </c>
      <c r="J89" s="8">
        <v>22638</v>
      </c>
      <c r="K89" s="9">
        <v>19388931428</v>
      </c>
      <c r="L89" s="9">
        <v>16693637641</v>
      </c>
      <c r="M89" s="11">
        <v>0.04</v>
      </c>
    </row>
    <row r="90" spans="1:13" ht="23.1" customHeight="1">
      <c r="A90" s="8" t="s">
        <v>208</v>
      </c>
      <c r="B90" s="9">
        <v>3691458</v>
      </c>
      <c r="C90" s="9">
        <v>172371795849</v>
      </c>
      <c r="D90" s="9">
        <v>119699823394</v>
      </c>
      <c r="E90" s="9">
        <v>0</v>
      </c>
      <c r="F90" s="9">
        <v>0</v>
      </c>
      <c r="G90" s="9">
        <v>0</v>
      </c>
      <c r="H90" s="9">
        <v>0</v>
      </c>
      <c r="I90" s="9">
        <v>3691458</v>
      </c>
      <c r="J90" s="8">
        <v>29210</v>
      </c>
      <c r="K90" s="9">
        <v>172371795849</v>
      </c>
      <c r="L90" s="9">
        <v>107483302841</v>
      </c>
      <c r="M90" s="11">
        <v>0.24</v>
      </c>
    </row>
    <row r="91" spans="1:13" ht="23.1" customHeight="1">
      <c r="A91" s="8" t="s">
        <v>209</v>
      </c>
      <c r="B91" s="9">
        <v>1712953</v>
      </c>
      <c r="C91" s="9">
        <v>29845247285</v>
      </c>
      <c r="D91" s="9">
        <v>27319764069</v>
      </c>
      <c r="E91" s="9">
        <v>0</v>
      </c>
      <c r="F91" s="9">
        <v>0</v>
      </c>
      <c r="G91" s="9">
        <v>0</v>
      </c>
      <c r="H91" s="9">
        <v>0</v>
      </c>
      <c r="I91" s="9">
        <v>1712953</v>
      </c>
      <c r="J91" s="8">
        <v>14230</v>
      </c>
      <c r="K91" s="9">
        <v>29845247285</v>
      </c>
      <c r="L91" s="9">
        <v>24297515168</v>
      </c>
      <c r="M91" s="11">
        <v>0.05</v>
      </c>
    </row>
    <row r="92" spans="1:13" ht="23.1" customHeight="1">
      <c r="A92" s="8" t="s">
        <v>210</v>
      </c>
      <c r="B92" s="9">
        <v>2980294</v>
      </c>
      <c r="C92" s="9">
        <v>30824976077</v>
      </c>
      <c r="D92" s="9">
        <v>21564898569</v>
      </c>
      <c r="E92" s="9">
        <v>0</v>
      </c>
      <c r="F92" s="9">
        <v>0</v>
      </c>
      <c r="G92" s="9">
        <v>0</v>
      </c>
      <c r="H92" s="9">
        <v>0</v>
      </c>
      <c r="I92" s="9">
        <v>2980294</v>
      </c>
      <c r="J92" s="8">
        <v>6630</v>
      </c>
      <c r="K92" s="9">
        <v>30824976077</v>
      </c>
      <c r="L92" s="9">
        <v>19696277381</v>
      </c>
      <c r="M92" s="11">
        <v>0.04</v>
      </c>
    </row>
    <row r="93" spans="1:13" ht="23.1" customHeight="1">
      <c r="A93" s="8" t="s">
        <v>211</v>
      </c>
      <c r="B93" s="9">
        <v>0</v>
      </c>
      <c r="C93" s="9">
        <v>0</v>
      </c>
      <c r="D93" s="9">
        <v>0</v>
      </c>
      <c r="E93" s="9">
        <v>2145407</v>
      </c>
      <c r="F93" s="9">
        <v>0</v>
      </c>
      <c r="G93" s="9">
        <v>0</v>
      </c>
      <c r="H93" s="9">
        <v>0</v>
      </c>
      <c r="I93" s="9">
        <v>2145407</v>
      </c>
      <c r="J93" s="8">
        <v>29150</v>
      </c>
      <c r="K93" s="9">
        <v>72680934783</v>
      </c>
      <c r="L93" s="9">
        <v>62338990797</v>
      </c>
      <c r="M93" s="11">
        <v>0.14000000000000001</v>
      </c>
    </row>
    <row r="94" spans="1:13" ht="23.1" customHeight="1">
      <c r="A94" s="8" t="s">
        <v>212</v>
      </c>
      <c r="B94" s="9">
        <v>0</v>
      </c>
      <c r="C94" s="9">
        <v>0</v>
      </c>
      <c r="D94" s="9">
        <v>0</v>
      </c>
      <c r="E94" s="9">
        <v>373662</v>
      </c>
      <c r="F94" s="9">
        <v>0</v>
      </c>
      <c r="G94" s="9">
        <v>0</v>
      </c>
      <c r="H94" s="9">
        <v>0</v>
      </c>
      <c r="I94" s="9">
        <v>373662</v>
      </c>
      <c r="J94" s="8">
        <v>24427</v>
      </c>
      <c r="K94" s="9">
        <v>10824552501</v>
      </c>
      <c r="L94" s="9">
        <v>9098306883</v>
      </c>
      <c r="M94" s="11">
        <v>0.02</v>
      </c>
    </row>
    <row r="95" spans="1:13" ht="23.1" customHeight="1">
      <c r="A95" s="8" t="s">
        <v>213</v>
      </c>
      <c r="B95" s="9">
        <v>2525867</v>
      </c>
      <c r="C95" s="9">
        <v>110987570343</v>
      </c>
      <c r="D95" s="9">
        <v>113638585261</v>
      </c>
      <c r="E95" s="9">
        <v>0</v>
      </c>
      <c r="F95" s="9">
        <v>0</v>
      </c>
      <c r="G95" s="9">
        <v>0</v>
      </c>
      <c r="H95" s="9">
        <v>0</v>
      </c>
      <c r="I95" s="9">
        <v>2525867</v>
      </c>
      <c r="J95" s="8">
        <v>36154</v>
      </c>
      <c r="K95" s="9">
        <v>110987570343</v>
      </c>
      <c r="L95" s="9">
        <v>91028701457</v>
      </c>
      <c r="M95" s="11">
        <v>0.2</v>
      </c>
    </row>
    <row r="96" spans="1:13" ht="23.1" customHeight="1" thickBot="1">
      <c r="A96" s="8" t="s">
        <v>101</v>
      </c>
      <c r="B96" s="9"/>
      <c r="C96" s="12">
        <v>40034742509640</v>
      </c>
      <c r="D96" s="12">
        <v>33235934013633.996</v>
      </c>
      <c r="E96" s="9"/>
      <c r="F96" s="12">
        <f>SUM(F11:F95)</f>
        <v>15174110185846</v>
      </c>
      <c r="G96" s="9"/>
      <c r="H96" s="12">
        <v>10371175812752</v>
      </c>
      <c r="I96" s="9"/>
      <c r="J96" s="8"/>
      <c r="K96" s="12">
        <f>SUM(K11:K95)</f>
        <v>44837676882734</v>
      </c>
      <c r="L96" s="12">
        <f>SUM(L11:L95)</f>
        <v>41603933966146</v>
      </c>
      <c r="M96" s="13">
        <v>91.23</v>
      </c>
    </row>
    <row r="97" spans="12:12" ht="21" thickTop="1"/>
    <row r="98" spans="12:12">
      <c r="L98" s="14"/>
    </row>
    <row r="102" spans="12:12">
      <c r="L102" s="14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60" orientation="landscape" r:id="rId1"/>
  <headerFooter differentOddEven="1" differentFirst="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rightToLeft="1" view="pageBreakPreview" topLeftCell="C1" zoomScale="106" zoomScaleNormal="100" zoomScaleSheetLayoutView="106" workbookViewId="0">
      <selection activeCell="D24" sqref="D24"/>
    </sheetView>
  </sheetViews>
  <sheetFormatPr defaultRowHeight="36.75" customHeight="1"/>
  <cols>
    <col min="1" max="1" width="32.42578125" style="16" bestFit="1" customWidth="1"/>
    <col min="2" max="2" width="13.85546875" style="16" bestFit="1" customWidth="1"/>
    <col min="3" max="3" width="10.140625" style="16" bestFit="1" customWidth="1"/>
    <col min="4" max="4" width="10.42578125" style="16" bestFit="1" customWidth="1"/>
    <col min="5" max="5" width="11.5703125" style="16" bestFit="1" customWidth="1"/>
    <col min="6" max="6" width="12.42578125" style="16" bestFit="1" customWidth="1"/>
    <col min="7" max="7" width="12" style="16" bestFit="1" customWidth="1"/>
    <col min="8" max="8" width="11" style="16" bestFit="1" customWidth="1"/>
    <col min="9" max="10" width="16.5703125" style="16" bestFit="1" customWidth="1"/>
    <col min="11" max="11" width="10.28515625" style="16" bestFit="1" customWidth="1"/>
    <col min="12" max="12" width="15.28515625" style="16" bestFit="1" customWidth="1"/>
    <col min="13" max="13" width="16" style="16" bestFit="1" customWidth="1"/>
    <col min="14" max="14" width="15.42578125" style="16" bestFit="1" customWidth="1"/>
    <col min="15" max="15" width="12.85546875" style="16" bestFit="1" customWidth="1"/>
    <col min="16" max="16" width="15.28515625" style="16" bestFit="1" customWidth="1"/>
    <col min="17" max="17" width="16.5703125" style="16" bestFit="1" customWidth="1"/>
    <col min="18" max="18" width="16.7109375" style="16" bestFit="1" customWidth="1"/>
    <col min="19" max="19" width="16.28515625" style="16" bestFit="1" customWidth="1"/>
    <col min="20" max="20" width="9.140625" style="15" customWidth="1"/>
    <col min="21" max="16384" width="9.140625" style="15"/>
  </cols>
  <sheetData>
    <row r="1" spans="1:19" ht="36.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36.75" customHeigh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36.75" customHeight="1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36.75" customHeight="1">
      <c r="A4" s="110" t="s">
        <v>214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6" spans="1:19" ht="36.75" customHeight="1">
      <c r="A6" s="102" t="s">
        <v>215</v>
      </c>
      <c r="B6" s="102"/>
      <c r="C6" s="102"/>
      <c r="D6" s="102"/>
      <c r="E6" s="102"/>
      <c r="F6" s="102"/>
      <c r="G6" s="102"/>
      <c r="H6" s="102" t="s">
        <v>5</v>
      </c>
      <c r="I6" s="102"/>
      <c r="J6" s="102"/>
      <c r="K6" s="108" t="s">
        <v>6</v>
      </c>
      <c r="L6" s="108"/>
      <c r="M6" s="108"/>
      <c r="N6" s="108"/>
      <c r="O6" s="102" t="s">
        <v>7</v>
      </c>
      <c r="P6" s="102"/>
      <c r="Q6" s="102"/>
      <c r="R6" s="102"/>
      <c r="S6" s="102"/>
    </row>
    <row r="7" spans="1:19" ht="36.75" customHeight="1">
      <c r="A7" s="105" t="s">
        <v>216</v>
      </c>
      <c r="B7" s="106" t="s">
        <v>217</v>
      </c>
      <c r="C7" s="104" t="s">
        <v>218</v>
      </c>
      <c r="D7" s="103" t="s">
        <v>219</v>
      </c>
      <c r="E7" s="106" t="s">
        <v>220</v>
      </c>
      <c r="F7" s="104" t="s">
        <v>221</v>
      </c>
      <c r="G7" s="104" t="s">
        <v>222</v>
      </c>
      <c r="H7" s="103" t="s">
        <v>107</v>
      </c>
      <c r="I7" s="103" t="s">
        <v>108</v>
      </c>
      <c r="J7" s="103" t="s">
        <v>109</v>
      </c>
      <c r="K7" s="104" t="s">
        <v>110</v>
      </c>
      <c r="L7" s="104"/>
      <c r="M7" s="104" t="s">
        <v>111</v>
      </c>
      <c r="N7" s="104"/>
      <c r="O7" s="103" t="s">
        <v>107</v>
      </c>
      <c r="P7" s="103" t="s">
        <v>223</v>
      </c>
      <c r="Q7" s="103" t="s">
        <v>108</v>
      </c>
      <c r="R7" s="103" t="s">
        <v>109</v>
      </c>
      <c r="S7" s="103" t="s">
        <v>15</v>
      </c>
    </row>
    <row r="8" spans="1:19" s="16" customFormat="1" ht="30" customHeight="1" thickBot="1">
      <c r="A8" s="102"/>
      <c r="B8" s="108"/>
      <c r="C8" s="108"/>
      <c r="D8" s="102"/>
      <c r="E8" s="108"/>
      <c r="F8" s="108"/>
      <c r="G8" s="108"/>
      <c r="H8" s="102"/>
      <c r="I8" s="102"/>
      <c r="J8" s="102"/>
      <c r="K8" s="7" t="s">
        <v>107</v>
      </c>
      <c r="L8" s="7" t="s">
        <v>114</v>
      </c>
      <c r="M8" s="7" t="s">
        <v>107</v>
      </c>
      <c r="N8" s="7" t="s">
        <v>115</v>
      </c>
      <c r="O8" s="102"/>
      <c r="P8" s="102"/>
      <c r="Q8" s="102"/>
      <c r="R8" s="102"/>
      <c r="S8" s="102"/>
    </row>
    <row r="9" spans="1:19" ht="36.75" hidden="1" customHeight="1">
      <c r="A9" s="8" t="s">
        <v>116</v>
      </c>
      <c r="B9" s="8" t="s">
        <v>224</v>
      </c>
      <c r="C9" s="8" t="s">
        <v>225</v>
      </c>
      <c r="D9" s="9" t="s">
        <v>226</v>
      </c>
      <c r="E9" s="9" t="s">
        <v>227</v>
      </c>
      <c r="F9" s="8" t="s">
        <v>228</v>
      </c>
      <c r="G9" s="8" t="s">
        <v>229</v>
      </c>
      <c r="H9" s="9" t="s">
        <v>117</v>
      </c>
      <c r="I9" s="9" t="s">
        <v>118</v>
      </c>
      <c r="J9" s="9" t="s">
        <v>119</v>
      </c>
      <c r="K9" s="9" t="s">
        <v>120</v>
      </c>
      <c r="L9" s="9" t="s">
        <v>121</v>
      </c>
      <c r="M9" s="9" t="s">
        <v>122</v>
      </c>
      <c r="N9" s="9" t="s">
        <v>123</v>
      </c>
      <c r="O9" s="9" t="s">
        <v>124</v>
      </c>
      <c r="P9" s="8" t="s">
        <v>125</v>
      </c>
      <c r="Q9" s="9" t="s">
        <v>126</v>
      </c>
      <c r="R9" s="9" t="s">
        <v>127</v>
      </c>
      <c r="S9" s="9" t="s">
        <v>128</v>
      </c>
    </row>
    <row r="10" spans="1:19" ht="36.75" customHeight="1">
      <c r="A10" s="8" t="s">
        <v>230</v>
      </c>
      <c r="B10" s="8" t="s">
        <v>231</v>
      </c>
      <c r="C10" s="8" t="s">
        <v>231</v>
      </c>
      <c r="D10" s="9" t="s">
        <v>232</v>
      </c>
      <c r="E10" s="9" t="s">
        <v>233</v>
      </c>
      <c r="F10" s="4">
        <v>1000000</v>
      </c>
      <c r="G10" s="4">
        <v>20</v>
      </c>
      <c r="H10" s="9">
        <v>0</v>
      </c>
      <c r="I10" s="9">
        <v>0</v>
      </c>
      <c r="J10" s="9">
        <v>0</v>
      </c>
      <c r="K10" s="9">
        <v>500000</v>
      </c>
      <c r="L10" s="9">
        <v>500272500000</v>
      </c>
      <c r="M10" s="9">
        <v>0</v>
      </c>
      <c r="N10" s="9">
        <v>0</v>
      </c>
      <c r="O10" s="9">
        <v>500000</v>
      </c>
      <c r="P10" s="8">
        <v>1000545</v>
      </c>
      <c r="Q10" s="9">
        <v>500272500000</v>
      </c>
      <c r="R10" s="9">
        <v>499910000000</v>
      </c>
      <c r="S10" s="11">
        <v>1.1000000000000001</v>
      </c>
    </row>
    <row r="11" spans="1:19" ht="36.75" customHeight="1">
      <c r="A11" s="8" t="s">
        <v>234</v>
      </c>
      <c r="B11" s="8" t="s">
        <v>231</v>
      </c>
      <c r="C11" s="8" t="s">
        <v>231</v>
      </c>
      <c r="D11" s="9" t="s">
        <v>235</v>
      </c>
      <c r="E11" s="9" t="s">
        <v>236</v>
      </c>
      <c r="F11" s="4">
        <v>1000000</v>
      </c>
      <c r="G11" s="4">
        <v>0</v>
      </c>
      <c r="H11" s="9">
        <v>14029</v>
      </c>
      <c r="I11" s="9">
        <v>10697846858</v>
      </c>
      <c r="J11" s="9">
        <v>11101552723</v>
      </c>
      <c r="K11" s="9">
        <v>0</v>
      </c>
      <c r="L11" s="9">
        <v>0</v>
      </c>
      <c r="M11" s="9">
        <v>0</v>
      </c>
      <c r="N11" s="9">
        <v>0</v>
      </c>
      <c r="O11" s="9">
        <v>14029</v>
      </c>
      <c r="P11" s="8">
        <v>783725</v>
      </c>
      <c r="Q11" s="9">
        <v>10697846858</v>
      </c>
      <c r="R11" s="9">
        <v>10986906741</v>
      </c>
      <c r="S11" s="11">
        <v>0.02</v>
      </c>
    </row>
    <row r="12" spans="1:19" ht="36.75" customHeight="1">
      <c r="A12" s="8" t="s">
        <v>237</v>
      </c>
      <c r="B12" s="8" t="s">
        <v>231</v>
      </c>
      <c r="C12" s="8" t="s">
        <v>231</v>
      </c>
      <c r="D12" s="9" t="s">
        <v>238</v>
      </c>
      <c r="E12" s="9" t="s">
        <v>239</v>
      </c>
      <c r="F12" s="4">
        <v>1000000</v>
      </c>
      <c r="G12" s="4">
        <v>0</v>
      </c>
      <c r="H12" s="9">
        <v>26552</v>
      </c>
      <c r="I12" s="9">
        <v>19577264675</v>
      </c>
      <c r="J12" s="9">
        <v>20447171776</v>
      </c>
      <c r="K12" s="9">
        <v>0</v>
      </c>
      <c r="L12" s="9">
        <v>0</v>
      </c>
      <c r="M12" s="9">
        <v>0</v>
      </c>
      <c r="N12" s="9">
        <v>0</v>
      </c>
      <c r="O12" s="9">
        <v>26552</v>
      </c>
      <c r="P12" s="8">
        <v>765414</v>
      </c>
      <c r="Q12" s="9">
        <v>19577264675</v>
      </c>
      <c r="R12" s="9">
        <v>20308538159</v>
      </c>
      <c r="S12" s="11">
        <v>0.04</v>
      </c>
    </row>
    <row r="13" spans="1:19" ht="36.75" customHeight="1">
      <c r="A13" s="8" t="s">
        <v>240</v>
      </c>
      <c r="B13" s="8" t="s">
        <v>231</v>
      </c>
      <c r="C13" s="8" t="s">
        <v>231</v>
      </c>
      <c r="D13" s="9" t="s">
        <v>235</v>
      </c>
      <c r="E13" s="9" t="s">
        <v>241</v>
      </c>
      <c r="F13" s="4">
        <v>1000000</v>
      </c>
      <c r="G13" s="4">
        <v>0</v>
      </c>
      <c r="H13" s="9">
        <v>9286</v>
      </c>
      <c r="I13" s="9">
        <v>8026308785</v>
      </c>
      <c r="J13" s="9">
        <v>8382936796</v>
      </c>
      <c r="K13" s="9">
        <v>0</v>
      </c>
      <c r="L13" s="9">
        <v>0</v>
      </c>
      <c r="M13" s="9">
        <v>0</v>
      </c>
      <c r="N13" s="9">
        <v>0</v>
      </c>
      <c r="O13" s="9">
        <v>9286</v>
      </c>
      <c r="P13" s="8">
        <v>913225</v>
      </c>
      <c r="Q13" s="9">
        <v>8026308785</v>
      </c>
      <c r="R13" s="9">
        <v>8474059205</v>
      </c>
      <c r="S13" s="11">
        <v>0.02</v>
      </c>
    </row>
    <row r="14" spans="1:19" ht="36.75" customHeight="1">
      <c r="A14" s="8" t="s">
        <v>242</v>
      </c>
      <c r="B14" s="8" t="s">
        <v>231</v>
      </c>
      <c r="C14" s="8" t="s">
        <v>231</v>
      </c>
      <c r="D14" s="9" t="s">
        <v>243</v>
      </c>
      <c r="E14" s="9" t="s">
        <v>244</v>
      </c>
      <c r="F14" s="4">
        <v>1000000</v>
      </c>
      <c r="G14" s="4">
        <v>17.899999999999999</v>
      </c>
      <c r="H14" s="9">
        <v>365000</v>
      </c>
      <c r="I14" s="9">
        <v>364212657250</v>
      </c>
      <c r="J14" s="9">
        <v>364735375000</v>
      </c>
      <c r="K14" s="9">
        <v>0</v>
      </c>
      <c r="L14" s="9">
        <v>0</v>
      </c>
      <c r="M14" s="9">
        <v>80000</v>
      </c>
      <c r="N14" s="9">
        <v>80047500000</v>
      </c>
      <c r="O14" s="9">
        <v>285000</v>
      </c>
      <c r="P14" s="8">
        <v>1000000</v>
      </c>
      <c r="Q14" s="9">
        <v>284165157250</v>
      </c>
      <c r="R14" s="9">
        <v>284793375000</v>
      </c>
      <c r="S14" s="11">
        <v>0.62</v>
      </c>
    </row>
    <row r="15" spans="1:19" ht="36.75" customHeight="1">
      <c r="A15" s="8" t="s">
        <v>245</v>
      </c>
      <c r="B15" s="8" t="s">
        <v>231</v>
      </c>
      <c r="C15" s="8" t="s">
        <v>231</v>
      </c>
      <c r="D15" s="9" t="s">
        <v>246</v>
      </c>
      <c r="E15" s="9" t="s">
        <v>247</v>
      </c>
      <c r="F15" s="4">
        <v>1000000</v>
      </c>
      <c r="G15" s="4">
        <v>0</v>
      </c>
      <c r="H15" s="9">
        <v>3660</v>
      </c>
      <c r="I15" s="9">
        <v>2626488819</v>
      </c>
      <c r="J15" s="9">
        <v>2784239145</v>
      </c>
      <c r="K15" s="9">
        <v>0</v>
      </c>
      <c r="L15" s="9">
        <v>0</v>
      </c>
      <c r="M15" s="9">
        <v>0</v>
      </c>
      <c r="N15" s="9">
        <v>0</v>
      </c>
      <c r="O15" s="9">
        <v>3660</v>
      </c>
      <c r="P15" s="8">
        <v>748730</v>
      </c>
      <c r="Q15" s="9">
        <v>2626488819</v>
      </c>
      <c r="R15" s="9">
        <v>2738365046</v>
      </c>
      <c r="S15" s="11">
        <v>0.01</v>
      </c>
    </row>
    <row r="16" spans="1:19" ht="36.75" customHeight="1">
      <c r="A16" s="8" t="s">
        <v>248</v>
      </c>
      <c r="B16" s="8" t="s">
        <v>231</v>
      </c>
      <c r="C16" s="8" t="s">
        <v>231</v>
      </c>
      <c r="D16" s="9" t="s">
        <v>249</v>
      </c>
      <c r="E16" s="9" t="s">
        <v>250</v>
      </c>
      <c r="F16" s="4">
        <v>1000000</v>
      </c>
      <c r="G16" s="4">
        <v>0</v>
      </c>
      <c r="H16" s="9">
        <v>42047</v>
      </c>
      <c r="I16" s="9">
        <v>29879584654</v>
      </c>
      <c r="J16" s="9">
        <v>31475664512</v>
      </c>
      <c r="K16" s="9">
        <v>0</v>
      </c>
      <c r="L16" s="9">
        <v>0</v>
      </c>
      <c r="M16" s="9">
        <v>0</v>
      </c>
      <c r="N16" s="9">
        <v>0</v>
      </c>
      <c r="O16" s="9">
        <v>42047</v>
      </c>
      <c r="P16" s="8">
        <v>735495</v>
      </c>
      <c r="Q16" s="9">
        <v>29879584654</v>
      </c>
      <c r="R16" s="9">
        <v>30902937383</v>
      </c>
      <c r="S16" s="11">
        <v>7.0000000000000007E-2</v>
      </c>
    </row>
    <row r="17" spans="1:19" ht="36.75" customHeight="1">
      <c r="A17" s="8" t="s">
        <v>251</v>
      </c>
      <c r="B17" s="8" t="s">
        <v>231</v>
      </c>
      <c r="C17" s="8" t="s">
        <v>231</v>
      </c>
      <c r="D17" s="9" t="s">
        <v>252</v>
      </c>
      <c r="E17" s="9" t="s">
        <v>253</v>
      </c>
      <c r="F17" s="4">
        <v>1000000</v>
      </c>
      <c r="G17" s="4">
        <v>17</v>
      </c>
      <c r="H17" s="9">
        <v>348000</v>
      </c>
      <c r="I17" s="9">
        <v>327313702308</v>
      </c>
      <c r="J17" s="9">
        <v>340792746000</v>
      </c>
      <c r="K17" s="9">
        <v>0</v>
      </c>
      <c r="L17" s="9">
        <v>0</v>
      </c>
      <c r="M17" s="9">
        <v>110000</v>
      </c>
      <c r="N17" s="9">
        <v>103467838222</v>
      </c>
      <c r="O17" s="9">
        <v>238000</v>
      </c>
      <c r="P17" s="8">
        <v>990000</v>
      </c>
      <c r="Q17" s="9">
        <v>223845864086</v>
      </c>
      <c r="R17" s="9">
        <v>235449175502</v>
      </c>
      <c r="S17" s="11">
        <v>0.52</v>
      </c>
    </row>
    <row r="18" spans="1:19" ht="36.75" customHeight="1">
      <c r="A18" s="8" t="s">
        <v>254</v>
      </c>
      <c r="B18" s="8" t="s">
        <v>231</v>
      </c>
      <c r="C18" s="8" t="s">
        <v>231</v>
      </c>
      <c r="D18" s="9" t="s">
        <v>255</v>
      </c>
      <c r="E18" s="9" t="s">
        <v>256</v>
      </c>
      <c r="F18" s="4">
        <v>1000000</v>
      </c>
      <c r="G18" s="4">
        <v>15</v>
      </c>
      <c r="H18" s="9">
        <v>400000</v>
      </c>
      <c r="I18" s="9">
        <v>400286000000</v>
      </c>
      <c r="J18" s="9">
        <v>399710000000</v>
      </c>
      <c r="K18" s="9">
        <v>0</v>
      </c>
      <c r="L18" s="9">
        <v>0</v>
      </c>
      <c r="M18" s="9">
        <v>220000</v>
      </c>
      <c r="N18" s="9">
        <v>220157277778</v>
      </c>
      <c r="O18" s="9">
        <v>180000</v>
      </c>
      <c r="P18" s="8">
        <v>1000000</v>
      </c>
      <c r="Q18" s="9">
        <v>180128722222</v>
      </c>
      <c r="R18" s="9">
        <v>179869500000</v>
      </c>
      <c r="S18" s="11">
        <v>0.39</v>
      </c>
    </row>
    <row r="19" spans="1:19" ht="36.75" customHeight="1" thickBot="1">
      <c r="A19" s="17" t="s">
        <v>101</v>
      </c>
      <c r="B19" s="18"/>
      <c r="C19" s="18"/>
      <c r="D19" s="19"/>
      <c r="E19" s="19"/>
      <c r="F19" s="18"/>
      <c r="G19" s="18"/>
      <c r="H19" s="19"/>
      <c r="I19" s="20">
        <v>1162619853349</v>
      </c>
      <c r="J19" s="20">
        <v>1179429685952</v>
      </c>
      <c r="K19" s="19"/>
      <c r="L19" s="20">
        <v>500272500000</v>
      </c>
      <c r="M19" s="19"/>
      <c r="N19" s="20">
        <f>SUM(N10:N18)</f>
        <v>403672616000</v>
      </c>
      <c r="O19" s="19"/>
      <c r="P19" s="18"/>
      <c r="Q19" s="20">
        <v>1259219737349</v>
      </c>
      <c r="R19" s="20">
        <v>1273432857036</v>
      </c>
      <c r="S19" s="21">
        <v>2.79</v>
      </c>
    </row>
    <row r="20" spans="1:19" ht="36.75" customHeight="1" thickTop="1">
      <c r="S20" s="22"/>
    </row>
    <row r="25" spans="1:19" ht="36.75" customHeight="1">
      <c r="P25" s="22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6" orientation="landscape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rightToLeft="1" view="pageBreakPreview" zoomScale="106" zoomScaleNormal="100" zoomScaleSheetLayoutView="106" workbookViewId="0">
      <selection activeCell="P7" sqref="P7"/>
    </sheetView>
  </sheetViews>
  <sheetFormatPr defaultRowHeight="20.25"/>
  <cols>
    <col min="1" max="1" width="19.140625" style="15" customWidth="1"/>
    <col min="2" max="2" width="11.5703125" style="15" customWidth="1"/>
    <col min="3" max="3" width="14.7109375" style="15" bestFit="1" customWidth="1"/>
    <col min="4" max="4" width="16.42578125" style="15" customWidth="1"/>
    <col min="5" max="5" width="16.85546875" style="15" bestFit="1" customWidth="1"/>
    <col min="6" max="6" width="17.28515625" style="15" customWidth="1"/>
    <col min="7" max="7" width="16.42578125" style="15" customWidth="1"/>
    <col min="8" max="8" width="15.85546875" style="15" bestFit="1" customWidth="1"/>
    <col min="9" max="9" width="9.140625" style="15" customWidth="1"/>
    <col min="10" max="16384" width="9.140625" style="15"/>
  </cols>
  <sheetData>
    <row r="1" spans="1:8" ht="25.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ht="25.5">
      <c r="A2" s="116" t="s">
        <v>1</v>
      </c>
      <c r="B2" s="116"/>
      <c r="C2" s="116"/>
      <c r="D2" s="116"/>
      <c r="E2" s="116"/>
      <c r="F2" s="116"/>
      <c r="G2" s="116"/>
      <c r="H2" s="116"/>
    </row>
    <row r="3" spans="1:8" ht="25.5">
      <c r="A3" s="116" t="s">
        <v>2</v>
      </c>
      <c r="B3" s="116"/>
      <c r="C3" s="116"/>
      <c r="D3" s="116"/>
      <c r="E3" s="116"/>
      <c r="F3" s="116"/>
      <c r="G3" s="116"/>
      <c r="H3" s="116"/>
    </row>
    <row r="4" spans="1:8" ht="25.5">
      <c r="A4" s="117" t="s">
        <v>3</v>
      </c>
      <c r="B4" s="117"/>
      <c r="C4" s="117"/>
      <c r="D4" s="117"/>
      <c r="E4" s="117"/>
      <c r="F4" s="117"/>
      <c r="G4" s="117"/>
      <c r="H4" s="117"/>
    </row>
    <row r="5" spans="1:8" ht="21" thickBot="1">
      <c r="B5" s="23"/>
      <c r="C5" s="23"/>
      <c r="D5" s="23"/>
      <c r="E5" s="23"/>
      <c r="F5" s="23"/>
      <c r="G5" s="23"/>
      <c r="H5" s="23"/>
    </row>
    <row r="6" spans="1:8" ht="18.75" customHeight="1" thickBot="1">
      <c r="A6" s="24"/>
      <c r="B6" s="112" t="s">
        <v>4</v>
      </c>
      <c r="C6" s="112"/>
      <c r="D6" s="25" t="s">
        <v>5</v>
      </c>
      <c r="E6" s="115" t="s">
        <v>6</v>
      </c>
      <c r="F6" s="115"/>
      <c r="G6" s="112" t="s">
        <v>7</v>
      </c>
      <c r="H6" s="112"/>
    </row>
    <row r="7" spans="1:8" ht="24" customHeight="1">
      <c r="A7" s="111" t="s">
        <v>8</v>
      </c>
      <c r="B7" s="114" t="s">
        <v>9</v>
      </c>
      <c r="C7" s="114" t="s">
        <v>10</v>
      </c>
      <c r="D7" s="113" t="s">
        <v>12</v>
      </c>
      <c r="E7" s="114" t="s">
        <v>13</v>
      </c>
      <c r="F7" s="114" t="s">
        <v>14</v>
      </c>
      <c r="G7" s="113" t="s">
        <v>12</v>
      </c>
      <c r="H7" s="113" t="s">
        <v>15</v>
      </c>
    </row>
    <row r="8" spans="1:8" ht="22.5" customHeight="1" thickBot="1">
      <c r="A8" s="112"/>
      <c r="B8" s="115"/>
      <c r="C8" s="115"/>
      <c r="D8" s="112"/>
      <c r="E8" s="115"/>
      <c r="F8" s="115"/>
      <c r="G8" s="112"/>
      <c r="H8" s="112"/>
    </row>
    <row r="9" spans="1:8" ht="22.5" hidden="1" customHeight="1">
      <c r="A9" s="26" t="s">
        <v>16</v>
      </c>
      <c r="B9" s="26" t="s">
        <v>17</v>
      </c>
      <c r="C9" s="26" t="s">
        <v>18</v>
      </c>
      <c r="D9" s="26" t="s">
        <v>20</v>
      </c>
      <c r="E9" s="26" t="s">
        <v>21</v>
      </c>
      <c r="F9" s="26" t="s">
        <v>22</v>
      </c>
      <c r="G9" s="26" t="s">
        <v>23</v>
      </c>
      <c r="H9" s="26" t="s">
        <v>24</v>
      </c>
    </row>
    <row r="10" spans="1:8" ht="23.1" customHeight="1">
      <c r="A10" s="26" t="s">
        <v>25</v>
      </c>
      <c r="B10" s="31">
        <v>302567793</v>
      </c>
      <c r="C10" s="26" t="s">
        <v>26</v>
      </c>
      <c r="D10" s="26">
        <v>61458563625</v>
      </c>
      <c r="E10" s="26">
        <v>74582672789</v>
      </c>
      <c r="F10" s="26">
        <v>93826457253</v>
      </c>
      <c r="G10" s="26">
        <f>D10+E10-F10</f>
        <v>42214779161</v>
      </c>
      <c r="H10" s="27">
        <v>0.09</v>
      </c>
    </row>
    <row r="11" spans="1:8" ht="23.1" customHeight="1">
      <c r="A11" s="26" t="s">
        <v>28</v>
      </c>
      <c r="B11" s="31">
        <v>301838355</v>
      </c>
      <c r="C11" s="26" t="s">
        <v>26</v>
      </c>
      <c r="D11" s="26">
        <v>19138184473</v>
      </c>
      <c r="E11" s="26">
        <v>163251437961</v>
      </c>
      <c r="F11" s="26">
        <v>126750975141</v>
      </c>
      <c r="G11" s="26">
        <f t="shared" ref="G11:G74" si="0">D11+E11-F11</f>
        <v>55638647293</v>
      </c>
      <c r="H11" s="27">
        <v>0.12</v>
      </c>
    </row>
    <row r="12" spans="1:8" ht="23.1" customHeight="1">
      <c r="A12" s="26" t="s">
        <v>29</v>
      </c>
      <c r="B12" s="31">
        <v>301834556</v>
      </c>
      <c r="C12" s="26" t="s">
        <v>26</v>
      </c>
      <c r="D12" s="26">
        <v>42993786296</v>
      </c>
      <c r="E12" s="26">
        <v>84363670718</v>
      </c>
      <c r="F12" s="26">
        <v>83185318841</v>
      </c>
      <c r="G12" s="26">
        <f t="shared" si="0"/>
        <v>44172138173</v>
      </c>
      <c r="H12" s="27">
        <v>0.1</v>
      </c>
    </row>
    <row r="13" spans="1:8" ht="23.1" customHeight="1">
      <c r="A13" s="26" t="s">
        <v>30</v>
      </c>
      <c r="B13" s="31">
        <v>301829238</v>
      </c>
      <c r="C13" s="26" t="s">
        <v>26</v>
      </c>
      <c r="D13" s="26">
        <v>18987383987</v>
      </c>
      <c r="E13" s="26">
        <v>143530519866</v>
      </c>
      <c r="F13" s="26">
        <v>83649306785</v>
      </c>
      <c r="G13" s="26">
        <f t="shared" si="0"/>
        <v>78868597068</v>
      </c>
      <c r="H13" s="27">
        <v>0.17</v>
      </c>
    </row>
    <row r="14" spans="1:8" ht="23.1" customHeight="1">
      <c r="A14" s="26" t="s">
        <v>31</v>
      </c>
      <c r="B14" s="31">
        <v>301202886</v>
      </c>
      <c r="C14" s="26" t="s">
        <v>26</v>
      </c>
      <c r="D14" s="26">
        <v>32122781567</v>
      </c>
      <c r="E14" s="26">
        <v>21716518040</v>
      </c>
      <c r="F14" s="26">
        <v>41008402599</v>
      </c>
      <c r="G14" s="26">
        <f t="shared" si="0"/>
        <v>12830897008</v>
      </c>
      <c r="H14" s="27">
        <v>0.03</v>
      </c>
    </row>
    <row r="15" spans="1:8" ht="23.1" customHeight="1">
      <c r="A15" s="26" t="s">
        <v>32</v>
      </c>
      <c r="B15" s="31">
        <v>301202590</v>
      </c>
      <c r="C15" s="26" t="s">
        <v>26</v>
      </c>
      <c r="D15" s="26">
        <v>21442291053</v>
      </c>
      <c r="E15" s="26">
        <v>59903043114</v>
      </c>
      <c r="F15" s="26">
        <v>81345334167</v>
      </c>
      <c r="G15" s="26">
        <f t="shared" si="0"/>
        <v>0</v>
      </c>
      <c r="H15" s="27">
        <v>0</v>
      </c>
    </row>
    <row r="16" spans="1:8" ht="23.1" customHeight="1">
      <c r="A16" s="26" t="s">
        <v>33</v>
      </c>
      <c r="B16" s="31">
        <v>301202280</v>
      </c>
      <c r="C16" s="26" t="s">
        <v>26</v>
      </c>
      <c r="D16" s="26">
        <v>339492336</v>
      </c>
      <c r="E16" s="26">
        <v>54156579228</v>
      </c>
      <c r="F16" s="26">
        <v>44836540713</v>
      </c>
      <c r="G16" s="26">
        <f t="shared" si="0"/>
        <v>9659530851</v>
      </c>
      <c r="H16" s="27">
        <v>0.02</v>
      </c>
    </row>
    <row r="17" spans="1:8" ht="23.1" customHeight="1">
      <c r="A17" s="26" t="s">
        <v>34</v>
      </c>
      <c r="B17" s="31">
        <v>301201055</v>
      </c>
      <c r="C17" s="26" t="s">
        <v>26</v>
      </c>
      <c r="D17" s="26">
        <v>62439405079</v>
      </c>
      <c r="E17" s="26">
        <v>115977203145</v>
      </c>
      <c r="F17" s="26">
        <v>141826816593</v>
      </c>
      <c r="G17" s="26">
        <f t="shared" si="0"/>
        <v>36589791631</v>
      </c>
      <c r="H17" s="27">
        <v>0.08</v>
      </c>
    </row>
    <row r="18" spans="1:8" ht="23.1" customHeight="1">
      <c r="A18" s="26" t="s">
        <v>35</v>
      </c>
      <c r="B18" s="31">
        <v>288030758</v>
      </c>
      <c r="C18" s="26" t="s">
        <v>26</v>
      </c>
      <c r="D18" s="26">
        <v>416018125094</v>
      </c>
      <c r="E18" s="26">
        <v>98667424367</v>
      </c>
      <c r="F18" s="26">
        <v>439196343043</v>
      </c>
      <c r="G18" s="26">
        <f t="shared" si="0"/>
        <v>75489206418</v>
      </c>
      <c r="H18" s="27">
        <v>0.17</v>
      </c>
    </row>
    <row r="19" spans="1:8" ht="23.1" customHeight="1">
      <c r="A19" s="26" t="s">
        <v>36</v>
      </c>
      <c r="B19" s="31">
        <v>262546747</v>
      </c>
      <c r="C19" s="26" t="s">
        <v>26</v>
      </c>
      <c r="D19" s="26">
        <v>118437765271</v>
      </c>
      <c r="E19" s="26">
        <v>847558909552</v>
      </c>
      <c r="F19" s="26">
        <v>556374303935</v>
      </c>
      <c r="G19" s="26">
        <f t="shared" si="0"/>
        <v>409622370888</v>
      </c>
      <c r="H19" s="27">
        <v>0.9</v>
      </c>
    </row>
    <row r="20" spans="1:8" ht="23.1" customHeight="1">
      <c r="A20" s="26" t="s">
        <v>37</v>
      </c>
      <c r="B20" s="31">
        <v>302568906</v>
      </c>
      <c r="C20" s="26" t="s">
        <v>26</v>
      </c>
      <c r="D20" s="26">
        <v>81389887542</v>
      </c>
      <c r="E20" s="26">
        <v>156483393618</v>
      </c>
      <c r="F20" s="26">
        <v>80266367647</v>
      </c>
      <c r="G20" s="26">
        <f t="shared" si="0"/>
        <v>157606913513</v>
      </c>
      <c r="H20" s="27">
        <v>0.35</v>
      </c>
    </row>
    <row r="21" spans="1:8" ht="23.1" customHeight="1">
      <c r="A21" s="26" t="s">
        <v>38</v>
      </c>
      <c r="B21" s="31">
        <v>302569200</v>
      </c>
      <c r="C21" s="26" t="s">
        <v>26</v>
      </c>
      <c r="D21" s="26">
        <v>15213553449</v>
      </c>
      <c r="E21" s="26">
        <v>76774249539</v>
      </c>
      <c r="F21" s="26">
        <v>80766224874</v>
      </c>
      <c r="G21" s="26">
        <f t="shared" si="0"/>
        <v>11221578114</v>
      </c>
      <c r="H21" s="27">
        <v>0.02</v>
      </c>
    </row>
    <row r="22" spans="1:8" ht="23.1" customHeight="1">
      <c r="A22" s="26" t="s">
        <v>39</v>
      </c>
      <c r="B22" s="31">
        <v>3018393130</v>
      </c>
      <c r="C22" s="26" t="s">
        <v>26</v>
      </c>
      <c r="D22" s="26">
        <v>14655959305</v>
      </c>
      <c r="E22" s="26">
        <v>100892470019</v>
      </c>
      <c r="F22" s="26">
        <v>94872978678</v>
      </c>
      <c r="G22" s="26">
        <f t="shared" si="0"/>
        <v>20675450646</v>
      </c>
      <c r="H22" s="27">
        <v>0.05</v>
      </c>
    </row>
    <row r="23" spans="1:8" ht="23.1" customHeight="1">
      <c r="A23" s="26" t="s">
        <v>40</v>
      </c>
      <c r="B23" s="31">
        <v>301834775</v>
      </c>
      <c r="C23" s="26" t="s">
        <v>26</v>
      </c>
      <c r="D23" s="26">
        <v>63143737225</v>
      </c>
      <c r="E23" s="26">
        <v>174887930381</v>
      </c>
      <c r="F23" s="26">
        <v>142912308215</v>
      </c>
      <c r="G23" s="26">
        <f t="shared" si="0"/>
        <v>95119359391</v>
      </c>
      <c r="H23" s="27">
        <v>0.21</v>
      </c>
    </row>
    <row r="24" spans="1:8" ht="23.1" customHeight="1">
      <c r="A24" s="26" t="s">
        <v>41</v>
      </c>
      <c r="B24" s="31">
        <v>301203970</v>
      </c>
      <c r="C24" s="26" t="s">
        <v>26</v>
      </c>
      <c r="D24" s="26">
        <v>47535838339</v>
      </c>
      <c r="E24" s="26">
        <v>16568492037</v>
      </c>
      <c r="F24" s="26">
        <v>13768611780</v>
      </c>
      <c r="G24" s="26">
        <f t="shared" si="0"/>
        <v>50335718596</v>
      </c>
      <c r="H24" s="27">
        <v>0.11</v>
      </c>
    </row>
    <row r="25" spans="1:8" ht="23.1" customHeight="1">
      <c r="A25" s="26" t="s">
        <v>42</v>
      </c>
      <c r="B25" s="31">
        <v>301202928</v>
      </c>
      <c r="C25" s="26" t="s">
        <v>26</v>
      </c>
      <c r="D25" s="26">
        <v>7311022740</v>
      </c>
      <c r="E25" s="26">
        <v>36960885736</v>
      </c>
      <c r="F25" s="26">
        <v>20146945794</v>
      </c>
      <c r="G25" s="26">
        <f t="shared" si="0"/>
        <v>24124962682</v>
      </c>
      <c r="H25" s="27">
        <v>0.05</v>
      </c>
    </row>
    <row r="26" spans="1:8" ht="23.1" customHeight="1">
      <c r="A26" s="26" t="s">
        <v>43</v>
      </c>
      <c r="B26" s="31">
        <v>301202450</v>
      </c>
      <c r="C26" s="26" t="s">
        <v>26</v>
      </c>
      <c r="D26" s="26">
        <v>7602381283</v>
      </c>
      <c r="E26" s="26">
        <v>25318335632</v>
      </c>
      <c r="F26" s="26">
        <v>30497387676</v>
      </c>
      <c r="G26" s="26">
        <f t="shared" si="0"/>
        <v>2423329239</v>
      </c>
      <c r="H26" s="27">
        <v>0.01</v>
      </c>
    </row>
    <row r="27" spans="1:8" ht="23.1" customHeight="1">
      <c r="A27" s="26" t="s">
        <v>44</v>
      </c>
      <c r="B27" s="31">
        <v>301202035</v>
      </c>
      <c r="C27" s="26" t="s">
        <v>26</v>
      </c>
      <c r="D27" s="26">
        <v>30460449226</v>
      </c>
      <c r="E27" s="26">
        <v>95318526506</v>
      </c>
      <c r="F27" s="26">
        <v>80291908886</v>
      </c>
      <c r="G27" s="26">
        <f t="shared" si="0"/>
        <v>45487066846</v>
      </c>
      <c r="H27" s="27">
        <v>0.1</v>
      </c>
    </row>
    <row r="28" spans="1:8" ht="23.1" customHeight="1">
      <c r="A28" s="26" t="s">
        <v>45</v>
      </c>
      <c r="B28" s="31">
        <v>288030497</v>
      </c>
      <c r="C28" s="26" t="s">
        <v>26</v>
      </c>
      <c r="D28" s="26">
        <v>24032722425</v>
      </c>
      <c r="E28" s="26">
        <v>29412265026</v>
      </c>
      <c r="F28" s="26">
        <v>15408968051</v>
      </c>
      <c r="G28" s="26">
        <f t="shared" si="0"/>
        <v>38036019400</v>
      </c>
      <c r="H28" s="27">
        <v>0.08</v>
      </c>
    </row>
    <row r="29" spans="1:8" ht="23.1" customHeight="1">
      <c r="A29" s="26" t="s">
        <v>46</v>
      </c>
      <c r="B29" s="31">
        <v>288032305</v>
      </c>
      <c r="C29" s="26" t="s">
        <v>26</v>
      </c>
      <c r="D29" s="26">
        <v>26832401467</v>
      </c>
      <c r="E29" s="26">
        <v>505967927561</v>
      </c>
      <c r="F29" s="26">
        <v>359619673457</v>
      </c>
      <c r="G29" s="26">
        <f t="shared" si="0"/>
        <v>173180655571</v>
      </c>
      <c r="H29" s="27">
        <v>0.38</v>
      </c>
    </row>
    <row r="30" spans="1:8" ht="23.1" customHeight="1">
      <c r="A30" s="26" t="s">
        <v>47</v>
      </c>
      <c r="B30" s="31">
        <v>301839359</v>
      </c>
      <c r="C30" s="26" t="s">
        <v>26</v>
      </c>
      <c r="D30" s="26">
        <v>17290190009</v>
      </c>
      <c r="E30" s="26">
        <v>432638142926</v>
      </c>
      <c r="F30" s="26">
        <v>281942624486</v>
      </c>
      <c r="G30" s="26">
        <f t="shared" si="0"/>
        <v>167985708449</v>
      </c>
      <c r="H30" s="27">
        <v>0.37</v>
      </c>
    </row>
    <row r="31" spans="1:8" ht="23.1" customHeight="1">
      <c r="A31" s="26" t="s">
        <v>48</v>
      </c>
      <c r="B31" s="31">
        <v>301809744</v>
      </c>
      <c r="C31" s="26" t="s">
        <v>26</v>
      </c>
      <c r="D31" s="26">
        <v>22329880537</v>
      </c>
      <c r="E31" s="26">
        <v>302052394755</v>
      </c>
      <c r="F31" s="26">
        <v>210569024791</v>
      </c>
      <c r="G31" s="26">
        <f t="shared" si="0"/>
        <v>113813250501</v>
      </c>
      <c r="H31" s="27">
        <v>0.25</v>
      </c>
    </row>
    <row r="32" spans="1:8" ht="23.1" customHeight="1">
      <c r="A32" s="26" t="s">
        <v>49</v>
      </c>
      <c r="B32" s="31">
        <v>301203910</v>
      </c>
      <c r="C32" s="26" t="s">
        <v>26</v>
      </c>
      <c r="D32" s="26">
        <v>69606186698</v>
      </c>
      <c r="E32" s="26">
        <v>45961803309</v>
      </c>
      <c r="F32" s="26">
        <v>51602309548</v>
      </c>
      <c r="G32" s="26">
        <f t="shared" si="0"/>
        <v>63965680459</v>
      </c>
      <c r="H32" s="27">
        <v>0.14000000000000001</v>
      </c>
    </row>
    <row r="33" spans="1:8" ht="23.1" customHeight="1">
      <c r="A33" s="26" t="s">
        <v>50</v>
      </c>
      <c r="B33" s="31">
        <v>301202783</v>
      </c>
      <c r="C33" s="26" t="s">
        <v>26</v>
      </c>
      <c r="D33" s="26">
        <v>95982503859</v>
      </c>
      <c r="E33" s="26">
        <v>33888250725</v>
      </c>
      <c r="F33" s="26">
        <v>51557025742</v>
      </c>
      <c r="G33" s="26">
        <f t="shared" si="0"/>
        <v>78313728842</v>
      </c>
      <c r="H33" s="27">
        <v>0.17</v>
      </c>
    </row>
    <row r="34" spans="1:8" ht="23.1" customHeight="1">
      <c r="A34" s="26" t="s">
        <v>51</v>
      </c>
      <c r="B34" s="31">
        <v>301202503</v>
      </c>
      <c r="C34" s="26" t="s">
        <v>26</v>
      </c>
      <c r="D34" s="26">
        <v>59656611807</v>
      </c>
      <c r="E34" s="26">
        <v>370026526555</v>
      </c>
      <c r="F34" s="26">
        <v>305322942577</v>
      </c>
      <c r="G34" s="26">
        <f t="shared" si="0"/>
        <v>124360195785</v>
      </c>
      <c r="H34" s="27">
        <v>0.27</v>
      </c>
    </row>
    <row r="35" spans="1:8" ht="23.1" customHeight="1">
      <c r="A35" s="26" t="s">
        <v>52</v>
      </c>
      <c r="B35" s="31">
        <v>301200932</v>
      </c>
      <c r="C35" s="26" t="s">
        <v>26</v>
      </c>
      <c r="D35" s="26">
        <v>147966182619</v>
      </c>
      <c r="E35" s="26">
        <v>31749961167</v>
      </c>
      <c r="F35" s="26">
        <v>58831741885</v>
      </c>
      <c r="G35" s="26">
        <f t="shared" si="0"/>
        <v>120884401901</v>
      </c>
      <c r="H35" s="27">
        <v>0.27</v>
      </c>
    </row>
    <row r="36" spans="1:8" ht="23.1" customHeight="1">
      <c r="A36" s="26" t="s">
        <v>53</v>
      </c>
      <c r="B36" s="31">
        <v>288032810</v>
      </c>
      <c r="C36" s="26" t="s">
        <v>26</v>
      </c>
      <c r="D36" s="26">
        <v>58036639355</v>
      </c>
      <c r="E36" s="26">
        <v>129694852262</v>
      </c>
      <c r="F36" s="26">
        <v>145584112444</v>
      </c>
      <c r="G36" s="26">
        <f t="shared" si="0"/>
        <v>42147379173</v>
      </c>
      <c r="H36" s="27">
        <v>0.09</v>
      </c>
    </row>
    <row r="37" spans="1:8" ht="23.1" customHeight="1">
      <c r="A37" s="26" t="s">
        <v>54</v>
      </c>
      <c r="B37" s="31">
        <v>288032603</v>
      </c>
      <c r="C37" s="26" t="s">
        <v>26</v>
      </c>
      <c r="D37" s="26">
        <v>32422054278</v>
      </c>
      <c r="E37" s="26">
        <v>174335000326</v>
      </c>
      <c r="F37" s="26">
        <v>150833720001</v>
      </c>
      <c r="G37" s="26">
        <f t="shared" si="0"/>
        <v>55923334603</v>
      </c>
      <c r="H37" s="27">
        <v>0.12</v>
      </c>
    </row>
    <row r="38" spans="1:8" ht="23.1" customHeight="1">
      <c r="A38" s="26" t="s">
        <v>55</v>
      </c>
      <c r="B38" s="31">
        <v>288030928</v>
      </c>
      <c r="C38" s="26" t="s">
        <v>26</v>
      </c>
      <c r="D38" s="26">
        <v>21050687867</v>
      </c>
      <c r="E38" s="26">
        <v>155056489037</v>
      </c>
      <c r="F38" s="26">
        <v>62989431386</v>
      </c>
      <c r="G38" s="26">
        <f t="shared" si="0"/>
        <v>113117745518</v>
      </c>
      <c r="H38" s="27">
        <v>0.25</v>
      </c>
    </row>
    <row r="39" spans="1:8" ht="23.1" customHeight="1">
      <c r="A39" s="26" t="s">
        <v>56</v>
      </c>
      <c r="B39" s="31">
        <v>302568566</v>
      </c>
      <c r="C39" s="26" t="s">
        <v>26</v>
      </c>
      <c r="D39" s="26">
        <v>54204816244</v>
      </c>
      <c r="E39" s="26">
        <v>123134738350</v>
      </c>
      <c r="F39" s="26">
        <v>91767080263</v>
      </c>
      <c r="G39" s="26">
        <f t="shared" si="0"/>
        <v>85572474331</v>
      </c>
      <c r="H39" s="27">
        <v>0.19</v>
      </c>
    </row>
    <row r="40" spans="1:8" ht="23.1" customHeight="1">
      <c r="A40" s="26" t="s">
        <v>57</v>
      </c>
      <c r="B40" s="31">
        <v>301838150</v>
      </c>
      <c r="C40" s="26" t="s">
        <v>26</v>
      </c>
      <c r="D40" s="26">
        <v>56664578318</v>
      </c>
      <c r="E40" s="26">
        <v>73319890024</v>
      </c>
      <c r="F40" s="26">
        <v>96612026648</v>
      </c>
      <c r="G40" s="26">
        <f t="shared" si="0"/>
        <v>33372441694</v>
      </c>
      <c r="H40" s="27">
        <v>7.0000000000000007E-2</v>
      </c>
    </row>
    <row r="41" spans="1:8" ht="23.1" customHeight="1">
      <c r="A41" s="26" t="s">
        <v>58</v>
      </c>
      <c r="B41" s="31">
        <v>301834295</v>
      </c>
      <c r="C41" s="26" t="s">
        <v>26</v>
      </c>
      <c r="D41" s="26">
        <v>11857464287</v>
      </c>
      <c r="E41" s="26">
        <v>118127810709</v>
      </c>
      <c r="F41" s="26">
        <v>65860442480</v>
      </c>
      <c r="G41" s="26">
        <f t="shared" si="0"/>
        <v>64124832516</v>
      </c>
      <c r="H41" s="27">
        <v>0.14000000000000001</v>
      </c>
    </row>
    <row r="42" spans="1:8" ht="23.1" customHeight="1">
      <c r="A42" s="26" t="s">
        <v>59</v>
      </c>
      <c r="B42" s="31">
        <v>301833965</v>
      </c>
      <c r="C42" s="26" t="s">
        <v>26</v>
      </c>
      <c r="D42" s="26">
        <v>13317518928</v>
      </c>
      <c r="E42" s="26">
        <v>94007067878</v>
      </c>
      <c r="F42" s="26">
        <v>54094056700</v>
      </c>
      <c r="G42" s="26">
        <f t="shared" si="0"/>
        <v>53230530106</v>
      </c>
      <c r="H42" s="27">
        <v>0.12</v>
      </c>
    </row>
    <row r="43" spans="1:8" ht="23.1" customHeight="1">
      <c r="A43" s="26" t="s">
        <v>60</v>
      </c>
      <c r="B43" s="31">
        <v>301203957</v>
      </c>
      <c r="C43" s="26" t="s">
        <v>26</v>
      </c>
      <c r="D43" s="26">
        <v>52257321908</v>
      </c>
      <c r="E43" s="26">
        <v>73398318290</v>
      </c>
      <c r="F43" s="26">
        <v>95395578277</v>
      </c>
      <c r="G43" s="26">
        <f t="shared" si="0"/>
        <v>30260061921</v>
      </c>
      <c r="H43" s="27">
        <v>7.0000000000000007E-2</v>
      </c>
    </row>
    <row r="44" spans="1:8" ht="23.1" customHeight="1">
      <c r="A44" s="26" t="s">
        <v>61</v>
      </c>
      <c r="B44" s="31">
        <v>301202837</v>
      </c>
      <c r="C44" s="26" t="s">
        <v>26</v>
      </c>
      <c r="D44" s="26">
        <v>6811300243</v>
      </c>
      <c r="E44" s="26">
        <v>76420204049</v>
      </c>
      <c r="F44" s="26">
        <v>19189377429</v>
      </c>
      <c r="G44" s="26">
        <f t="shared" si="0"/>
        <v>64042126863</v>
      </c>
      <c r="H44" s="27">
        <v>0.14000000000000001</v>
      </c>
    </row>
    <row r="45" spans="1:8" ht="23.1" customHeight="1">
      <c r="A45" s="26" t="s">
        <v>62</v>
      </c>
      <c r="B45" s="31">
        <v>301202394</v>
      </c>
      <c r="C45" s="26" t="s">
        <v>26</v>
      </c>
      <c r="D45" s="26">
        <v>13429667221</v>
      </c>
      <c r="E45" s="26">
        <v>99060697373</v>
      </c>
      <c r="F45" s="26">
        <v>76688765375</v>
      </c>
      <c r="G45" s="26">
        <f t="shared" si="0"/>
        <v>35801599219</v>
      </c>
      <c r="H45" s="27">
        <v>0.08</v>
      </c>
    </row>
    <row r="46" spans="1:8" ht="23.1" customHeight="1">
      <c r="A46" s="26" t="s">
        <v>63</v>
      </c>
      <c r="B46" s="31">
        <v>301200981</v>
      </c>
      <c r="C46" s="26" t="s">
        <v>26</v>
      </c>
      <c r="D46" s="26">
        <v>31460174222</v>
      </c>
      <c r="E46" s="26">
        <v>20539382880</v>
      </c>
      <c r="F46" s="26">
        <v>42182777946</v>
      </c>
      <c r="G46" s="26">
        <f t="shared" si="0"/>
        <v>9816779156</v>
      </c>
      <c r="H46" s="27">
        <v>0.02</v>
      </c>
    </row>
    <row r="47" spans="1:8" ht="23.1" customHeight="1">
      <c r="A47" s="26" t="s">
        <v>64</v>
      </c>
      <c r="B47" s="31">
        <v>288027917</v>
      </c>
      <c r="C47" s="26" t="s">
        <v>26</v>
      </c>
      <c r="D47" s="26">
        <v>16328257004</v>
      </c>
      <c r="E47" s="26">
        <v>65579293053</v>
      </c>
      <c r="F47" s="26">
        <v>15522225175</v>
      </c>
      <c r="G47" s="26">
        <f t="shared" si="0"/>
        <v>66385324882</v>
      </c>
      <c r="H47" s="27">
        <v>0.15</v>
      </c>
    </row>
    <row r="48" spans="1:8" ht="23.1" customHeight="1">
      <c r="A48" s="26" t="s">
        <v>65</v>
      </c>
      <c r="B48" s="31">
        <v>304164240</v>
      </c>
      <c r="C48" s="26" t="s">
        <v>26</v>
      </c>
      <c r="D48" s="26">
        <v>34097480677</v>
      </c>
      <c r="E48" s="26">
        <v>270254747327</v>
      </c>
      <c r="F48" s="26">
        <v>180637377114</v>
      </c>
      <c r="G48" s="26">
        <f t="shared" si="0"/>
        <v>123714850890</v>
      </c>
      <c r="H48" s="27">
        <v>0.27</v>
      </c>
    </row>
    <row r="49" spans="1:8" ht="23.1" customHeight="1">
      <c r="A49" s="26" t="s">
        <v>66</v>
      </c>
      <c r="B49" s="31">
        <v>301838495</v>
      </c>
      <c r="C49" s="26" t="s">
        <v>26</v>
      </c>
      <c r="D49" s="26">
        <v>60987542997</v>
      </c>
      <c r="E49" s="26">
        <v>48586461290</v>
      </c>
      <c r="F49" s="26">
        <v>55881910780</v>
      </c>
      <c r="G49" s="26">
        <f t="shared" si="0"/>
        <v>53692093507</v>
      </c>
      <c r="H49" s="27">
        <v>0.12</v>
      </c>
    </row>
    <row r="50" spans="1:8" ht="23.1" customHeight="1">
      <c r="A50" s="26" t="s">
        <v>67</v>
      </c>
      <c r="B50" s="31">
        <v>301835810</v>
      </c>
      <c r="C50" s="26" t="s">
        <v>26</v>
      </c>
      <c r="D50" s="26">
        <v>41920934121</v>
      </c>
      <c r="E50" s="26">
        <v>93398085518</v>
      </c>
      <c r="F50" s="26">
        <v>46379520846</v>
      </c>
      <c r="G50" s="26">
        <f t="shared" si="0"/>
        <v>88939498793</v>
      </c>
      <c r="H50" s="27">
        <v>0.2</v>
      </c>
    </row>
    <row r="51" spans="1:8" ht="23.1" customHeight="1">
      <c r="A51" s="26" t="s">
        <v>68</v>
      </c>
      <c r="B51" s="31">
        <v>301203969</v>
      </c>
      <c r="C51" s="26" t="s">
        <v>26</v>
      </c>
      <c r="D51" s="26">
        <v>14420414395</v>
      </c>
      <c r="E51" s="26">
        <v>51348490437</v>
      </c>
      <c r="F51" s="26">
        <v>31547257645</v>
      </c>
      <c r="G51" s="26">
        <f t="shared" si="0"/>
        <v>34221647187</v>
      </c>
      <c r="H51" s="27">
        <v>0.08</v>
      </c>
    </row>
    <row r="52" spans="1:8" ht="23.1" customHeight="1">
      <c r="A52" s="26" t="s">
        <v>69</v>
      </c>
      <c r="B52" s="31">
        <v>301203891</v>
      </c>
      <c r="C52" s="26" t="s">
        <v>26</v>
      </c>
      <c r="D52" s="26">
        <v>60269283378</v>
      </c>
      <c r="E52" s="26">
        <v>58021195966</v>
      </c>
      <c r="F52" s="26">
        <v>64202422833</v>
      </c>
      <c r="G52" s="26">
        <f t="shared" si="0"/>
        <v>54088056511</v>
      </c>
      <c r="H52" s="27">
        <v>0.12</v>
      </c>
    </row>
    <row r="53" spans="1:8" ht="23.1" customHeight="1">
      <c r="A53" s="26" t="s">
        <v>70</v>
      </c>
      <c r="B53" s="31">
        <v>301202412</v>
      </c>
      <c r="C53" s="26" t="s">
        <v>26</v>
      </c>
      <c r="D53" s="26">
        <v>40655556774</v>
      </c>
      <c r="E53" s="26">
        <v>58018908000</v>
      </c>
      <c r="F53" s="26">
        <v>92730830487</v>
      </c>
      <c r="G53" s="26">
        <f t="shared" si="0"/>
        <v>5943634287</v>
      </c>
      <c r="H53" s="27">
        <v>0.01</v>
      </c>
    </row>
    <row r="54" spans="1:8" ht="23.1" customHeight="1">
      <c r="A54" s="26" t="s">
        <v>71</v>
      </c>
      <c r="B54" s="31">
        <v>301202242</v>
      </c>
      <c r="C54" s="26" t="s">
        <v>26</v>
      </c>
      <c r="D54" s="26">
        <v>33121921125</v>
      </c>
      <c r="E54" s="26">
        <v>89182751198</v>
      </c>
      <c r="F54" s="26">
        <v>114074353038</v>
      </c>
      <c r="G54" s="26">
        <f t="shared" si="0"/>
        <v>8230319285</v>
      </c>
      <c r="H54" s="27">
        <v>0.02</v>
      </c>
    </row>
    <row r="55" spans="1:8" ht="23.1" customHeight="1">
      <c r="A55" s="26" t="s">
        <v>72</v>
      </c>
      <c r="B55" s="31">
        <v>301200816</v>
      </c>
      <c r="C55" s="26" t="s">
        <v>26</v>
      </c>
      <c r="D55" s="26">
        <v>33800555959</v>
      </c>
      <c r="E55" s="26">
        <v>320591391021</v>
      </c>
      <c r="F55" s="26">
        <v>269099132400</v>
      </c>
      <c r="G55" s="26">
        <f t="shared" si="0"/>
        <v>85292814580</v>
      </c>
      <c r="H55" s="27">
        <v>0.19</v>
      </c>
    </row>
    <row r="56" spans="1:8" ht="23.1" customHeight="1">
      <c r="A56" s="26" t="s">
        <v>73</v>
      </c>
      <c r="B56" s="31">
        <v>288032123</v>
      </c>
      <c r="C56" s="26" t="s">
        <v>26</v>
      </c>
      <c r="D56" s="26">
        <v>160263822195</v>
      </c>
      <c r="E56" s="26">
        <v>234958047303</v>
      </c>
      <c r="F56" s="26">
        <v>172478557857</v>
      </c>
      <c r="G56" s="26">
        <f t="shared" si="0"/>
        <v>222743311641</v>
      </c>
      <c r="H56" s="27">
        <v>0.49</v>
      </c>
    </row>
    <row r="57" spans="1:8" ht="23.1" customHeight="1">
      <c r="A57" s="26" t="s">
        <v>74</v>
      </c>
      <c r="B57" s="31">
        <v>288031921</v>
      </c>
      <c r="C57" s="26" t="s">
        <v>26</v>
      </c>
      <c r="D57" s="26">
        <v>27432509602</v>
      </c>
      <c r="E57" s="26">
        <v>10920560477</v>
      </c>
      <c r="F57" s="26">
        <v>26673087961</v>
      </c>
      <c r="G57" s="26">
        <f t="shared" si="0"/>
        <v>11679982118</v>
      </c>
      <c r="H57" s="27">
        <v>0.03</v>
      </c>
    </row>
    <row r="58" spans="1:8" ht="23.1" customHeight="1">
      <c r="A58" s="26" t="s">
        <v>75</v>
      </c>
      <c r="B58" s="31">
        <v>304164045</v>
      </c>
      <c r="C58" s="26" t="s">
        <v>26</v>
      </c>
      <c r="D58" s="26">
        <v>11586793221</v>
      </c>
      <c r="E58" s="26">
        <v>17905445649</v>
      </c>
      <c r="F58" s="26">
        <v>19467334442</v>
      </c>
      <c r="G58" s="26">
        <f t="shared" si="0"/>
        <v>10024904428</v>
      </c>
      <c r="H58" s="27">
        <v>0.02</v>
      </c>
    </row>
    <row r="59" spans="1:8" ht="23.1" customHeight="1">
      <c r="A59" s="26" t="s">
        <v>76</v>
      </c>
      <c r="B59" s="31">
        <v>302567987</v>
      </c>
      <c r="C59" s="26" t="s">
        <v>26</v>
      </c>
      <c r="D59" s="26">
        <v>70741046131</v>
      </c>
      <c r="E59" s="26">
        <v>96977952082</v>
      </c>
      <c r="F59" s="26">
        <v>136278983510</v>
      </c>
      <c r="G59" s="26">
        <f t="shared" si="0"/>
        <v>31440014703</v>
      </c>
      <c r="H59" s="27">
        <v>7.0000000000000007E-2</v>
      </c>
    </row>
    <row r="60" spans="1:8" ht="23.1" customHeight="1">
      <c r="A60" s="26" t="s">
        <v>77</v>
      </c>
      <c r="B60" s="31">
        <v>301837818</v>
      </c>
      <c r="C60" s="26" t="s">
        <v>26</v>
      </c>
      <c r="D60" s="26">
        <v>60939687864</v>
      </c>
      <c r="E60" s="26">
        <v>109846473875</v>
      </c>
      <c r="F60" s="26">
        <v>141602847160</v>
      </c>
      <c r="G60" s="26">
        <f t="shared" si="0"/>
        <v>29183314579</v>
      </c>
      <c r="H60" s="27">
        <v>0.06</v>
      </c>
    </row>
    <row r="61" spans="1:8" ht="23.1" customHeight="1">
      <c r="A61" s="26" t="s">
        <v>78</v>
      </c>
      <c r="B61" s="31">
        <v>301832810</v>
      </c>
      <c r="C61" s="26" t="s">
        <v>26</v>
      </c>
      <c r="D61" s="26">
        <v>46410689361</v>
      </c>
      <c r="E61" s="26">
        <v>110785375484</v>
      </c>
      <c r="F61" s="26">
        <v>126728308830</v>
      </c>
      <c r="G61" s="26">
        <f t="shared" si="0"/>
        <v>30467756015</v>
      </c>
      <c r="H61" s="27">
        <v>7.0000000000000007E-2</v>
      </c>
    </row>
    <row r="62" spans="1:8" ht="23.1" customHeight="1">
      <c r="A62" s="26" t="s">
        <v>79</v>
      </c>
      <c r="B62" s="31">
        <v>301203908</v>
      </c>
      <c r="C62" s="26" t="s">
        <v>26</v>
      </c>
      <c r="D62" s="26">
        <v>52414327427</v>
      </c>
      <c r="E62" s="26">
        <v>18762712507</v>
      </c>
      <c r="F62" s="26">
        <v>44052801491</v>
      </c>
      <c r="G62" s="26">
        <f t="shared" si="0"/>
        <v>27124238443</v>
      </c>
      <c r="H62" s="27">
        <v>0.06</v>
      </c>
    </row>
    <row r="63" spans="1:8" ht="23.1" customHeight="1">
      <c r="A63" s="26" t="s">
        <v>80</v>
      </c>
      <c r="B63" s="31">
        <v>301202746</v>
      </c>
      <c r="C63" s="26" t="s">
        <v>26</v>
      </c>
      <c r="D63" s="26">
        <v>93712829868</v>
      </c>
      <c r="E63" s="26">
        <v>24628132830</v>
      </c>
      <c r="F63" s="26">
        <v>82802929108</v>
      </c>
      <c r="G63" s="26">
        <f t="shared" si="0"/>
        <v>35538033590</v>
      </c>
      <c r="H63" s="27">
        <v>0.08</v>
      </c>
    </row>
    <row r="64" spans="1:8" ht="23.1" customHeight="1">
      <c r="A64" s="26" t="s">
        <v>81</v>
      </c>
      <c r="B64" s="31">
        <v>301202667</v>
      </c>
      <c r="C64" s="26" t="s">
        <v>26</v>
      </c>
      <c r="D64" s="26">
        <v>127617860552</v>
      </c>
      <c r="E64" s="26">
        <v>30015956860</v>
      </c>
      <c r="F64" s="26">
        <v>136013152629</v>
      </c>
      <c r="G64" s="26">
        <f t="shared" si="0"/>
        <v>21620664783</v>
      </c>
      <c r="H64" s="27">
        <v>0.05</v>
      </c>
    </row>
    <row r="65" spans="1:8" ht="23.1" customHeight="1">
      <c r="A65" s="26" t="s">
        <v>82</v>
      </c>
      <c r="B65" s="31">
        <v>301202321</v>
      </c>
      <c r="C65" s="26" t="s">
        <v>26</v>
      </c>
      <c r="D65" s="26">
        <v>238022134</v>
      </c>
      <c r="E65" s="26">
        <v>23085076145</v>
      </c>
      <c r="F65" s="26">
        <v>22028756205</v>
      </c>
      <c r="G65" s="26">
        <f t="shared" si="0"/>
        <v>1294342074</v>
      </c>
      <c r="H65" s="27">
        <v>0</v>
      </c>
    </row>
    <row r="66" spans="1:8" ht="23.1" customHeight="1">
      <c r="A66" s="26" t="s">
        <v>83</v>
      </c>
      <c r="B66" s="31">
        <v>288031623</v>
      </c>
      <c r="C66" s="26" t="s">
        <v>26</v>
      </c>
      <c r="D66" s="26">
        <v>34551415255</v>
      </c>
      <c r="E66" s="26">
        <v>110549672703</v>
      </c>
      <c r="F66" s="26">
        <v>66251218104</v>
      </c>
      <c r="G66" s="26">
        <f t="shared" si="0"/>
        <v>78849869854</v>
      </c>
      <c r="H66" s="27">
        <v>0.17</v>
      </c>
    </row>
    <row r="67" spans="1:8" ht="23.1" customHeight="1">
      <c r="A67" s="26" t="s">
        <v>84</v>
      </c>
      <c r="B67" s="31">
        <v>304163892</v>
      </c>
      <c r="C67" s="26" t="s">
        <v>26</v>
      </c>
      <c r="D67" s="26">
        <v>10412730340</v>
      </c>
      <c r="E67" s="26">
        <v>81718516669</v>
      </c>
      <c r="F67" s="26">
        <v>28069928120</v>
      </c>
      <c r="G67" s="26">
        <f t="shared" si="0"/>
        <v>64061318889</v>
      </c>
      <c r="H67" s="27">
        <v>0.14000000000000001</v>
      </c>
    </row>
    <row r="68" spans="1:8" ht="23.1" customHeight="1">
      <c r="A68" s="26" t="s">
        <v>85</v>
      </c>
      <c r="B68" s="31">
        <v>302568189</v>
      </c>
      <c r="C68" s="26" t="s">
        <v>26</v>
      </c>
      <c r="D68" s="26">
        <v>55829836342</v>
      </c>
      <c r="E68" s="26">
        <v>52742483668</v>
      </c>
      <c r="F68" s="26">
        <v>92504507214</v>
      </c>
      <c r="G68" s="26">
        <f t="shared" si="0"/>
        <v>16067812796</v>
      </c>
      <c r="H68" s="27">
        <v>0.04</v>
      </c>
    </row>
    <row r="69" spans="1:8" ht="23.1" customHeight="1">
      <c r="A69" s="26" t="s">
        <v>86</v>
      </c>
      <c r="B69" s="31">
        <v>302569467</v>
      </c>
      <c r="C69" s="26" t="s">
        <v>26</v>
      </c>
      <c r="D69" s="26">
        <v>0</v>
      </c>
      <c r="E69" s="26">
        <v>4767951645365</v>
      </c>
      <c r="F69" s="26">
        <v>4767951645365</v>
      </c>
      <c r="G69" s="26">
        <f t="shared" si="0"/>
        <v>0</v>
      </c>
      <c r="H69" s="27">
        <v>0</v>
      </c>
    </row>
    <row r="70" spans="1:8" ht="23.1" customHeight="1">
      <c r="A70" s="26" t="s">
        <v>87</v>
      </c>
      <c r="B70" s="31">
        <v>301835007</v>
      </c>
      <c r="C70" s="26" t="s">
        <v>26</v>
      </c>
      <c r="D70" s="26">
        <v>18680180964</v>
      </c>
      <c r="E70" s="26">
        <v>86806110267</v>
      </c>
      <c r="F70" s="26">
        <v>69867475279</v>
      </c>
      <c r="G70" s="26">
        <f t="shared" si="0"/>
        <v>35618815952</v>
      </c>
      <c r="H70" s="27">
        <v>0.08</v>
      </c>
    </row>
    <row r="71" spans="1:8" ht="23.1" customHeight="1">
      <c r="A71" s="26" t="s">
        <v>88</v>
      </c>
      <c r="B71" s="31">
        <v>301833333</v>
      </c>
      <c r="C71" s="26" t="s">
        <v>26</v>
      </c>
      <c r="D71" s="26">
        <v>54195646504</v>
      </c>
      <c r="E71" s="26">
        <v>90368335907</v>
      </c>
      <c r="F71" s="26">
        <v>101941246962</v>
      </c>
      <c r="G71" s="26">
        <f t="shared" si="0"/>
        <v>42622735449</v>
      </c>
      <c r="H71" s="27">
        <v>0.09</v>
      </c>
    </row>
    <row r="72" spans="1:8" ht="23.1" customHeight="1">
      <c r="A72" s="26" t="s">
        <v>89</v>
      </c>
      <c r="B72" s="31">
        <v>301203933</v>
      </c>
      <c r="C72" s="26" t="s">
        <v>26</v>
      </c>
      <c r="D72" s="26">
        <v>31696938223</v>
      </c>
      <c r="E72" s="26">
        <v>43481087207</v>
      </c>
      <c r="F72" s="26">
        <v>66652198027</v>
      </c>
      <c r="G72" s="26">
        <f t="shared" si="0"/>
        <v>8525827403</v>
      </c>
      <c r="H72" s="27">
        <v>0.02</v>
      </c>
    </row>
    <row r="73" spans="1:8" ht="23.1" customHeight="1">
      <c r="A73" s="26" t="s">
        <v>90</v>
      </c>
      <c r="B73" s="31">
        <v>301202989</v>
      </c>
      <c r="C73" s="26" t="s">
        <v>26</v>
      </c>
      <c r="D73" s="26">
        <v>30914880109</v>
      </c>
      <c r="E73" s="26">
        <v>36668725551</v>
      </c>
      <c r="F73" s="26">
        <v>59511154819</v>
      </c>
      <c r="G73" s="26">
        <f t="shared" si="0"/>
        <v>8072450841</v>
      </c>
      <c r="H73" s="27">
        <v>0.02</v>
      </c>
    </row>
    <row r="74" spans="1:8" ht="23.1" customHeight="1">
      <c r="A74" s="26" t="s">
        <v>91</v>
      </c>
      <c r="B74" s="31">
        <v>301202345</v>
      </c>
      <c r="C74" s="26" t="s">
        <v>26</v>
      </c>
      <c r="D74" s="26">
        <v>12253521201</v>
      </c>
      <c r="E74" s="26">
        <v>32593468549</v>
      </c>
      <c r="F74" s="26">
        <v>30172989419</v>
      </c>
      <c r="G74" s="26">
        <f t="shared" si="0"/>
        <v>14674000331</v>
      </c>
      <c r="H74" s="27">
        <v>0.03</v>
      </c>
    </row>
    <row r="75" spans="1:8" ht="23.1" customHeight="1">
      <c r="A75" s="26" t="s">
        <v>92</v>
      </c>
      <c r="B75" s="31">
        <v>301202096</v>
      </c>
      <c r="C75" s="26" t="s">
        <v>26</v>
      </c>
      <c r="D75" s="26">
        <v>200477416836</v>
      </c>
      <c r="E75" s="26">
        <v>18515099568</v>
      </c>
      <c r="F75" s="26">
        <v>19727702107</v>
      </c>
      <c r="G75" s="26">
        <f t="shared" ref="G75:G83" si="1">D75+E75-F75</f>
        <v>199264814297</v>
      </c>
      <c r="H75" s="27">
        <v>0.44</v>
      </c>
    </row>
    <row r="76" spans="1:8" ht="23.1" customHeight="1">
      <c r="A76" s="26" t="s">
        <v>93</v>
      </c>
      <c r="B76" s="31">
        <v>288032901</v>
      </c>
      <c r="C76" s="26" t="s">
        <v>26</v>
      </c>
      <c r="D76" s="26">
        <v>14298167540</v>
      </c>
      <c r="E76" s="26">
        <v>96772381444</v>
      </c>
      <c r="F76" s="26">
        <v>36962353026</v>
      </c>
      <c r="G76" s="26">
        <f t="shared" si="1"/>
        <v>74108195958</v>
      </c>
      <c r="H76" s="27">
        <v>0.16</v>
      </c>
    </row>
    <row r="77" spans="1:8" ht="23.1" customHeight="1">
      <c r="A77" s="26" t="s">
        <v>94</v>
      </c>
      <c r="B77" s="31">
        <v>301835226</v>
      </c>
      <c r="C77" s="26" t="s">
        <v>26</v>
      </c>
      <c r="D77" s="26">
        <v>57993610517</v>
      </c>
      <c r="E77" s="26">
        <v>155827553549</v>
      </c>
      <c r="F77" s="26">
        <v>152905200173</v>
      </c>
      <c r="G77" s="26">
        <f t="shared" si="1"/>
        <v>60915963893</v>
      </c>
      <c r="H77" s="27">
        <v>0.13</v>
      </c>
    </row>
    <row r="78" spans="1:8" ht="23.1" customHeight="1">
      <c r="A78" s="26" t="s">
        <v>95</v>
      </c>
      <c r="B78" s="31">
        <v>301203880</v>
      </c>
      <c r="C78" s="26" t="s">
        <v>26</v>
      </c>
      <c r="D78" s="26">
        <v>84803072418</v>
      </c>
      <c r="E78" s="26">
        <v>96326990979</v>
      </c>
      <c r="F78" s="26">
        <v>76087946142</v>
      </c>
      <c r="G78" s="26">
        <f t="shared" si="1"/>
        <v>105042117255</v>
      </c>
      <c r="H78" s="27">
        <v>0.23</v>
      </c>
    </row>
    <row r="79" spans="1:8" ht="23.1" customHeight="1">
      <c r="A79" s="26" t="s">
        <v>96</v>
      </c>
      <c r="B79" s="31">
        <v>301202539</v>
      </c>
      <c r="C79" s="26" t="s">
        <v>26</v>
      </c>
      <c r="D79" s="26">
        <v>63608653648</v>
      </c>
      <c r="E79" s="26">
        <v>41087745410</v>
      </c>
      <c r="F79" s="26">
        <v>49125230146</v>
      </c>
      <c r="G79" s="26">
        <f t="shared" si="1"/>
        <v>55571168912</v>
      </c>
      <c r="H79" s="27">
        <v>0.12</v>
      </c>
    </row>
    <row r="80" spans="1:8" ht="23.1" customHeight="1">
      <c r="A80" s="26" t="s">
        <v>97</v>
      </c>
      <c r="B80" s="31">
        <v>301202175</v>
      </c>
      <c r="C80" s="26" t="s">
        <v>26</v>
      </c>
      <c r="D80" s="26">
        <v>127504453472</v>
      </c>
      <c r="E80" s="26">
        <v>242366638271</v>
      </c>
      <c r="F80" s="26">
        <v>298355103351</v>
      </c>
      <c r="G80" s="26">
        <f t="shared" si="1"/>
        <v>71515988392</v>
      </c>
      <c r="H80" s="27">
        <v>0.16</v>
      </c>
    </row>
    <row r="81" spans="1:8" ht="23.1" customHeight="1">
      <c r="A81" s="26" t="s">
        <v>98</v>
      </c>
      <c r="B81" s="31">
        <v>288032457</v>
      </c>
      <c r="C81" s="26" t="s">
        <v>26</v>
      </c>
      <c r="D81" s="26">
        <v>24451608344</v>
      </c>
      <c r="E81" s="26">
        <v>72482423900</v>
      </c>
      <c r="F81" s="26">
        <v>73520546006</v>
      </c>
      <c r="G81" s="26">
        <f t="shared" si="1"/>
        <v>23413486238</v>
      </c>
      <c r="H81" s="27">
        <v>0.05</v>
      </c>
    </row>
    <row r="82" spans="1:8" ht="23.1" customHeight="1">
      <c r="A82" s="26" t="s">
        <v>99</v>
      </c>
      <c r="B82" s="31">
        <v>288033061</v>
      </c>
      <c r="C82" s="26" t="s">
        <v>26</v>
      </c>
      <c r="D82" s="26">
        <v>77148569775</v>
      </c>
      <c r="E82" s="26">
        <v>128729862329</v>
      </c>
      <c r="F82" s="26">
        <v>173793630338</v>
      </c>
      <c r="G82" s="26">
        <f t="shared" si="1"/>
        <v>32084801766</v>
      </c>
      <c r="H82" s="27">
        <v>7.0000000000000007E-2</v>
      </c>
    </row>
    <row r="83" spans="1:8" ht="23.1" customHeight="1">
      <c r="A83" s="26" t="s">
        <v>100</v>
      </c>
      <c r="B83" s="31">
        <v>288031740</v>
      </c>
      <c r="C83" s="26" t="s">
        <v>26</v>
      </c>
      <c r="D83" s="26">
        <v>34508050370</v>
      </c>
      <c r="E83" s="26">
        <v>79456127526</v>
      </c>
      <c r="F83" s="26">
        <v>94857520865</v>
      </c>
      <c r="G83" s="26">
        <f t="shared" si="1"/>
        <v>19106657031</v>
      </c>
      <c r="H83" s="27">
        <v>0.04</v>
      </c>
    </row>
    <row r="84" spans="1:8" ht="23.1" customHeight="1" thickBot="1">
      <c r="A84" s="28" t="s">
        <v>101</v>
      </c>
      <c r="B84" s="28"/>
      <c r="C84" s="28"/>
      <c r="D84" s="29">
        <f>SUM(D10:D83)</f>
        <v>3796187796825</v>
      </c>
      <c r="E84" s="29">
        <f>SUM(E10:E83)</f>
        <v>13203015911334</v>
      </c>
      <c r="F84" s="29">
        <f>SUM(F10:F83)</f>
        <v>12508033597080</v>
      </c>
      <c r="G84" s="29">
        <f>SUM(G10:G83)</f>
        <v>4491170111079</v>
      </c>
      <c r="H84" s="30">
        <f>SUM(H10:H83)</f>
        <v>9.879999999999999</v>
      </c>
    </row>
    <row r="85" spans="1:8" ht="21" thickTop="1"/>
    <row r="88" spans="1:8">
      <c r="C88" s="15" t="s">
        <v>102</v>
      </c>
    </row>
  </sheetData>
  <mergeCells count="15">
    <mergeCell ref="A1:H1"/>
    <mergeCell ref="A2:H2"/>
    <mergeCell ref="A3:H3"/>
    <mergeCell ref="A4:H4"/>
    <mergeCell ref="G6:H6"/>
    <mergeCell ref="B6:C6"/>
    <mergeCell ref="E6:F6"/>
    <mergeCell ref="A7:A8"/>
    <mergeCell ref="H7:H8"/>
    <mergeCell ref="G7:G8"/>
    <mergeCell ref="D7:D8"/>
    <mergeCell ref="C7:C8"/>
    <mergeCell ref="B7:B8"/>
    <mergeCell ref="E7:E8"/>
    <mergeCell ref="F7:F8"/>
  </mergeCells>
  <pageMargins left="0.7" right="0.7" top="0.75" bottom="0.75" header="0.3" footer="0.3"/>
  <pageSetup paperSize="9" scale="81" orientation="landscape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rightToLeft="1" topLeftCell="A2" zoomScale="106" zoomScaleNormal="106" workbookViewId="0">
      <selection activeCell="D8" sqref="D8"/>
    </sheetView>
  </sheetViews>
  <sheetFormatPr defaultColWidth="0" defaultRowHeight="22.5"/>
  <cols>
    <col min="1" max="1" width="55.85546875" style="71" customWidth="1"/>
    <col min="2" max="2" width="9.42578125" style="53" customWidth="1"/>
    <col min="3" max="3" width="16.42578125" style="53" customWidth="1"/>
    <col min="4" max="4" width="18.85546875" style="53" customWidth="1"/>
    <col min="5" max="5" width="19.85546875" style="53" customWidth="1"/>
    <col min="6" max="19" width="0.7109375" style="52" customWidth="1"/>
    <col min="20" max="20" width="0" style="52" hidden="1" customWidth="1"/>
    <col min="21" max="16384" width="0" style="52" hidden="1"/>
  </cols>
  <sheetData>
    <row r="1" spans="1:19" ht="25.5">
      <c r="A1" s="119" t="s">
        <v>0</v>
      </c>
      <c r="B1" s="119"/>
      <c r="C1" s="119"/>
      <c r="D1" s="119"/>
    </row>
    <row r="2" spans="1:19" ht="25.5">
      <c r="A2" s="119" t="s">
        <v>260</v>
      </c>
      <c r="B2" s="119"/>
      <c r="C2" s="119"/>
      <c r="D2" s="119"/>
    </row>
    <row r="3" spans="1:19" ht="25.5">
      <c r="A3" s="119" t="s">
        <v>261</v>
      </c>
      <c r="B3" s="119"/>
      <c r="C3" s="119"/>
      <c r="D3" s="119"/>
    </row>
    <row r="4" spans="1:19" ht="25.5">
      <c r="A4" s="118" t="s">
        <v>330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21" customHeight="1" thickBot="1">
      <c r="A5" s="39" t="s">
        <v>319</v>
      </c>
      <c r="B5" s="39" t="s">
        <v>331</v>
      </c>
      <c r="C5" s="39" t="s">
        <v>12</v>
      </c>
      <c r="D5" s="39" t="s">
        <v>332</v>
      </c>
      <c r="E5" s="39" t="s">
        <v>333</v>
      </c>
    </row>
    <row r="6" spans="1:19" ht="22.5" hidden="1" customHeight="1">
      <c r="A6" s="55" t="s">
        <v>334</v>
      </c>
      <c r="B6" s="55" t="s">
        <v>335</v>
      </c>
      <c r="C6" s="33" t="s">
        <v>305</v>
      </c>
      <c r="D6" s="33" t="s">
        <v>336</v>
      </c>
      <c r="E6" s="33" t="s">
        <v>337</v>
      </c>
    </row>
    <row r="7" spans="1:19" ht="23.1" customHeight="1">
      <c r="A7" s="55" t="s">
        <v>338</v>
      </c>
      <c r="B7" s="55" t="s">
        <v>339</v>
      </c>
      <c r="C7" s="33">
        <f>'درآمد سرمایه گذاری در سهام و ص '!J102</f>
        <v>-2493751026238</v>
      </c>
      <c r="D7" s="33">
        <v>105</v>
      </c>
      <c r="E7" s="33">
        <v>-6</v>
      </c>
    </row>
    <row r="8" spans="1:19" ht="23.1" customHeight="1">
      <c r="A8" s="55" t="s">
        <v>340</v>
      </c>
      <c r="B8" s="55" t="s">
        <v>341</v>
      </c>
      <c r="C8" s="33">
        <f>'درآمد سرمایه گذاری در اوراق بها'!I39</f>
        <v>105499822605</v>
      </c>
      <c r="D8" s="33">
        <v>-4</v>
      </c>
      <c r="E8" s="33">
        <v>0</v>
      </c>
    </row>
    <row r="9" spans="1:19" ht="23.1" customHeight="1">
      <c r="A9" s="55" t="s">
        <v>342</v>
      </c>
      <c r="B9" s="55" t="s">
        <v>343</v>
      </c>
      <c r="C9" s="33">
        <f>'درآمد سپرده بانکی'!D74</f>
        <v>35066558494</v>
      </c>
      <c r="D9" s="33">
        <v>-1</v>
      </c>
      <c r="E9" s="33">
        <v>0</v>
      </c>
    </row>
    <row r="10" spans="1:19" ht="23.1" customHeight="1" thickBot="1">
      <c r="A10" s="67" t="s">
        <v>101</v>
      </c>
      <c r="B10" s="68"/>
      <c r="C10" s="69">
        <f>SUM(C7:C9)</f>
        <v>-2353184645139</v>
      </c>
      <c r="D10" s="69">
        <f>SUM(D7:D9)</f>
        <v>100</v>
      </c>
      <c r="E10" s="69">
        <f>SUM(E7:E9)</f>
        <v>-6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19" ht="23.25" thickTop="1"/>
    <row r="20" spans="1:3">
      <c r="A20" s="73"/>
      <c r="B20" s="72"/>
      <c r="C20" s="72"/>
    </row>
    <row r="21" spans="1:3">
      <c r="A21" s="74">
        <f>'درآمد سرمایه گذاری در سهام و ص '!E102</f>
        <v>3311148229277</v>
      </c>
      <c r="B21" s="72"/>
      <c r="C21" s="76"/>
    </row>
    <row r="22" spans="1:3">
      <c r="A22" s="75"/>
      <c r="B22" s="72"/>
      <c r="C22" s="76"/>
    </row>
    <row r="23" spans="1:3">
      <c r="A23" s="78"/>
      <c r="B23" s="72"/>
      <c r="C23" s="76"/>
    </row>
    <row r="24" spans="1:3">
      <c r="A24" s="77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view="pageBreakPreview" topLeftCell="A2" zoomScale="60" zoomScaleNormal="106" workbookViewId="0">
      <selection activeCell="B26" sqref="B26"/>
    </sheetView>
  </sheetViews>
  <sheetFormatPr defaultColWidth="0" defaultRowHeight="20.25"/>
  <cols>
    <col min="1" max="1" width="20.5703125" style="46" customWidth="1"/>
    <col min="2" max="2" width="17" style="46" customWidth="1"/>
    <col min="3" max="3" width="28.28515625" style="46" customWidth="1"/>
    <col min="4" max="4" width="19.28515625" style="46" customWidth="1"/>
    <col min="5" max="5" width="22.85546875" style="46" customWidth="1"/>
    <col min="6" max="6" width="25.85546875" style="46" customWidth="1"/>
    <col min="7" max="7" width="23" style="46" customWidth="1"/>
    <col min="8" max="8" width="18.7109375" style="46" customWidth="1"/>
    <col min="9" max="9" width="21.28515625" style="46" customWidth="1"/>
    <col min="10" max="10" width="20" style="46" customWidth="1"/>
    <col min="11" max="13" width="0.7109375" style="45" customWidth="1"/>
    <col min="14" max="14" width="0" style="45" hidden="1" customWidth="1"/>
    <col min="15" max="16384" width="0" style="45" hidden="1"/>
  </cols>
  <sheetData>
    <row r="1" spans="1:13" ht="25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ht="25.5">
      <c r="A2" s="119" t="s">
        <v>260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3" ht="25.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3" ht="25.5">
      <c r="A4" s="122" t="s">
        <v>344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6.5" customHeight="1">
      <c r="B5" s="120" t="s">
        <v>345</v>
      </c>
      <c r="C5" s="120"/>
      <c r="D5" s="120"/>
      <c r="E5" s="121" t="s">
        <v>406</v>
      </c>
      <c r="F5" s="121"/>
      <c r="G5" s="121"/>
      <c r="H5" s="121" t="s">
        <v>263</v>
      </c>
      <c r="I5" s="121"/>
      <c r="J5" s="121"/>
      <c r="K5" s="47"/>
      <c r="L5" s="47"/>
      <c r="M5" s="47"/>
    </row>
    <row r="6" spans="1:13" ht="42" customHeight="1" thickBot="1">
      <c r="A6" s="32" t="s">
        <v>346</v>
      </c>
      <c r="B6" s="32" t="s">
        <v>347</v>
      </c>
      <c r="C6" s="32" t="s">
        <v>348</v>
      </c>
      <c r="D6" s="32" t="s">
        <v>349</v>
      </c>
      <c r="E6" s="32" t="s">
        <v>350</v>
      </c>
      <c r="F6" s="32" t="s">
        <v>351</v>
      </c>
      <c r="G6" s="32" t="s">
        <v>352</v>
      </c>
      <c r="H6" s="32" t="s">
        <v>350</v>
      </c>
      <c r="I6" s="32" t="s">
        <v>351</v>
      </c>
      <c r="J6" s="32" t="s">
        <v>352</v>
      </c>
    </row>
    <row r="7" spans="1:13" ht="22.5" hidden="1" customHeight="1">
      <c r="A7" s="33" t="s">
        <v>353</v>
      </c>
      <c r="B7" s="33" t="s">
        <v>19</v>
      </c>
      <c r="C7" s="33" t="s">
        <v>117</v>
      </c>
      <c r="D7" s="33" t="s">
        <v>354</v>
      </c>
      <c r="E7" s="33" t="s">
        <v>355</v>
      </c>
      <c r="F7" s="33" t="s">
        <v>356</v>
      </c>
      <c r="G7" s="33" t="s">
        <v>357</v>
      </c>
      <c r="H7" s="33" t="s">
        <v>358</v>
      </c>
      <c r="I7" s="33" t="s">
        <v>359</v>
      </c>
      <c r="J7" s="33" t="s">
        <v>360</v>
      </c>
    </row>
    <row r="8" spans="1:13" ht="23.1" customHeight="1">
      <c r="A8" s="33" t="s">
        <v>191</v>
      </c>
      <c r="B8" s="33" t="s">
        <v>361</v>
      </c>
      <c r="C8" s="33">
        <v>229331</v>
      </c>
      <c r="D8" s="33">
        <v>1250</v>
      </c>
      <c r="E8" s="33">
        <v>0</v>
      </c>
      <c r="F8" s="33">
        <v>0</v>
      </c>
      <c r="G8" s="33">
        <f>-Table4[[#This Row],[periodDividendPaymentDiscount]]+Table4[[#This Row],[periodDividendPaymentSum]]</f>
        <v>0</v>
      </c>
      <c r="H8" s="33">
        <v>286663750</v>
      </c>
      <c r="I8" s="33">
        <v>0</v>
      </c>
      <c r="J8" s="33">
        <f>Table4[[#This Row],[currentDividend]]-Table4[[#This Row],[dividendPaymentDiscount]]</f>
        <v>286663750</v>
      </c>
    </row>
    <row r="9" spans="1:13" ht="23.1" customHeight="1">
      <c r="A9" s="33" t="s">
        <v>129</v>
      </c>
      <c r="B9" s="33" t="s">
        <v>362</v>
      </c>
      <c r="C9" s="33">
        <v>296013</v>
      </c>
      <c r="D9" s="33">
        <v>2428</v>
      </c>
      <c r="E9" s="33">
        <v>0</v>
      </c>
      <c r="F9" s="33">
        <v>0</v>
      </c>
      <c r="G9" s="33">
        <f>-Table4[[#This Row],[periodDividendPaymentDiscount]]+Table4[[#This Row],[periodDividendPaymentSum]]</f>
        <v>0</v>
      </c>
      <c r="H9" s="33">
        <v>718719564</v>
      </c>
      <c r="I9" s="33">
        <v>0</v>
      </c>
      <c r="J9" s="33">
        <f>Table4[[#This Row],[currentDividend]]-Table4[[#This Row],[dividendPaymentDiscount]]</f>
        <v>718719564</v>
      </c>
    </row>
    <row r="10" spans="1:13" ht="23.1" customHeight="1">
      <c r="A10" s="33" t="s">
        <v>185</v>
      </c>
      <c r="B10" s="33" t="s">
        <v>363</v>
      </c>
      <c r="C10" s="33">
        <v>9204</v>
      </c>
      <c r="D10" s="33">
        <v>710</v>
      </c>
      <c r="E10" s="33">
        <v>0</v>
      </c>
      <c r="F10" s="33">
        <v>0</v>
      </c>
      <c r="G10" s="33">
        <f>-Table4[[#This Row],[periodDividendPaymentDiscount]]+Table4[[#This Row],[periodDividendPaymentSum]]</f>
        <v>0</v>
      </c>
      <c r="H10" s="33">
        <v>6534840</v>
      </c>
      <c r="I10" s="33">
        <v>0</v>
      </c>
      <c r="J10" s="33">
        <f>Table4[[#This Row],[currentDividend]]-Table4[[#This Row],[dividendPaymentDiscount]]</f>
        <v>6534840</v>
      </c>
    </row>
    <row r="11" spans="1:13" ht="23.1" customHeight="1">
      <c r="A11" s="33" t="s">
        <v>183</v>
      </c>
      <c r="B11" s="33" t="s">
        <v>364</v>
      </c>
      <c r="C11" s="33">
        <v>39929</v>
      </c>
      <c r="D11" s="33">
        <v>4200</v>
      </c>
      <c r="E11" s="33">
        <v>0</v>
      </c>
      <c r="F11" s="33">
        <v>0</v>
      </c>
      <c r="G11" s="33">
        <f>-Table4[[#This Row],[periodDividendPaymentDiscount]]+Table4[[#This Row],[periodDividendPaymentSum]]</f>
        <v>0</v>
      </c>
      <c r="H11" s="33">
        <v>167701800</v>
      </c>
      <c r="I11" s="33">
        <v>0</v>
      </c>
      <c r="J11" s="33">
        <f>Table4[[#This Row],[currentDividend]]-Table4[[#This Row],[dividendPaymentDiscount]]</f>
        <v>167701800</v>
      </c>
    </row>
    <row r="12" spans="1:13" ht="23.1" customHeight="1">
      <c r="A12" s="33" t="s">
        <v>130</v>
      </c>
      <c r="B12" s="33" t="s">
        <v>365</v>
      </c>
      <c r="C12" s="33">
        <v>28973</v>
      </c>
      <c r="D12" s="33">
        <v>3000</v>
      </c>
      <c r="E12" s="33">
        <v>0</v>
      </c>
      <c r="F12" s="33">
        <v>-1116606</v>
      </c>
      <c r="G12" s="33">
        <f>-Table4[[#This Row],[periodDividendPaymentDiscount]]+Table4[[#This Row],[periodDividendPaymentSum]]</f>
        <v>1116606</v>
      </c>
      <c r="H12" s="33">
        <v>86919000</v>
      </c>
      <c r="I12" s="33">
        <v>0</v>
      </c>
      <c r="J12" s="33">
        <f>Table4[[#This Row],[currentDividend]]-Table4[[#This Row],[dividendPaymentDiscount]]</f>
        <v>86919000</v>
      </c>
    </row>
    <row r="13" spans="1:13" ht="23.1" customHeight="1">
      <c r="A13" s="33" t="s">
        <v>160</v>
      </c>
      <c r="B13" s="33" t="s">
        <v>366</v>
      </c>
      <c r="C13" s="33">
        <v>165000</v>
      </c>
      <c r="D13" s="33">
        <v>1500</v>
      </c>
      <c r="E13" s="33">
        <v>0</v>
      </c>
      <c r="F13" s="33">
        <v>0</v>
      </c>
      <c r="G13" s="33">
        <f>-Table4[[#This Row],[periodDividendPaymentDiscount]]+Table4[[#This Row],[periodDividendPaymentSum]]</f>
        <v>0</v>
      </c>
      <c r="H13" s="33">
        <v>247500000</v>
      </c>
      <c r="I13" s="33">
        <v>0</v>
      </c>
      <c r="J13" s="33">
        <f>Table4[[#This Row],[currentDividend]]-Table4[[#This Row],[dividendPaymentDiscount]]</f>
        <v>247500000</v>
      </c>
    </row>
    <row r="14" spans="1:13" ht="23.1" customHeight="1">
      <c r="A14" s="33" t="s">
        <v>150</v>
      </c>
      <c r="B14" s="33" t="s">
        <v>367</v>
      </c>
      <c r="C14" s="33">
        <v>1023931</v>
      </c>
      <c r="D14" s="33">
        <v>870</v>
      </c>
      <c r="E14" s="33">
        <v>0</v>
      </c>
      <c r="F14" s="33">
        <v>0</v>
      </c>
      <c r="G14" s="33">
        <f>-Table4[[#This Row],[periodDividendPaymentDiscount]]+Table4[[#This Row],[periodDividendPaymentSum]]</f>
        <v>0</v>
      </c>
      <c r="H14" s="33">
        <v>890819970</v>
      </c>
      <c r="I14" s="33">
        <v>0</v>
      </c>
      <c r="J14" s="33">
        <f>Table4[[#This Row],[currentDividend]]-Table4[[#This Row],[dividendPaymentDiscount]]</f>
        <v>890819970</v>
      </c>
    </row>
    <row r="15" spans="1:13" ht="23.1" customHeight="1">
      <c r="A15" s="33" t="s">
        <v>199</v>
      </c>
      <c r="B15" s="33" t="s">
        <v>368</v>
      </c>
      <c r="C15" s="33">
        <v>190744</v>
      </c>
      <c r="D15" s="33">
        <v>16500</v>
      </c>
      <c r="E15" s="33">
        <v>0</v>
      </c>
      <c r="F15" s="33">
        <v>0</v>
      </c>
      <c r="G15" s="33">
        <f>-Table4[[#This Row],[periodDividendPaymentDiscount]]+Table4[[#This Row],[periodDividendPaymentSum]]</f>
        <v>0</v>
      </c>
      <c r="H15" s="33">
        <v>3147276000</v>
      </c>
      <c r="I15" s="33">
        <v>0</v>
      </c>
      <c r="J15" s="33">
        <f>Table4[[#This Row],[currentDividend]]-Table4[[#This Row],[dividendPaymentDiscount]]</f>
        <v>3147276000</v>
      </c>
    </row>
    <row r="16" spans="1:13" ht="23.1" customHeight="1">
      <c r="A16" s="33" t="s">
        <v>184</v>
      </c>
      <c r="B16" s="33" t="s">
        <v>369</v>
      </c>
      <c r="C16" s="33">
        <v>800055</v>
      </c>
      <c r="D16" s="33">
        <v>400</v>
      </c>
      <c r="E16" s="33">
        <v>0</v>
      </c>
      <c r="F16" s="33">
        <v>0</v>
      </c>
      <c r="G16" s="33">
        <f>-Table4[[#This Row],[periodDividendPaymentDiscount]]+Table4[[#This Row],[periodDividendPaymentSum]]</f>
        <v>0</v>
      </c>
      <c r="H16" s="33">
        <v>320022000</v>
      </c>
      <c r="I16" s="33">
        <v>0</v>
      </c>
      <c r="J16" s="33">
        <f>Table4[[#This Row],[currentDividend]]-Table4[[#This Row],[dividendPaymentDiscount]]</f>
        <v>320022000</v>
      </c>
    </row>
    <row r="17" spans="1:10" ht="23.1" customHeight="1">
      <c r="A17" s="33" t="s">
        <v>170</v>
      </c>
      <c r="B17" s="33" t="s">
        <v>370</v>
      </c>
      <c r="C17" s="33">
        <v>2218970</v>
      </c>
      <c r="D17" s="33">
        <v>3700</v>
      </c>
      <c r="E17" s="33">
        <v>0</v>
      </c>
      <c r="F17" s="33">
        <v>-155866962</v>
      </c>
      <c r="G17" s="33">
        <f>-Table4[[#This Row],[periodDividendPaymentDiscount]]+Table4[[#This Row],[periodDividendPaymentSum]]</f>
        <v>155866962</v>
      </c>
      <c r="H17" s="33">
        <v>8210189000</v>
      </c>
      <c r="I17" s="33">
        <v>240191699</v>
      </c>
      <c r="J17" s="33">
        <f>Table4[[#This Row],[currentDividend]]-Table4[[#This Row],[dividendPaymentDiscount]]</f>
        <v>7969997301</v>
      </c>
    </row>
    <row r="18" spans="1:10" ht="23.1" customHeight="1">
      <c r="A18" s="33" t="s">
        <v>151</v>
      </c>
      <c r="B18" s="33" t="s">
        <v>371</v>
      </c>
      <c r="C18" s="33">
        <v>4409205</v>
      </c>
      <c r="D18" s="33">
        <v>690</v>
      </c>
      <c r="E18" s="33">
        <v>0</v>
      </c>
      <c r="F18" s="33">
        <v>0</v>
      </c>
      <c r="G18" s="33">
        <f>-Table4[[#This Row],[periodDividendPaymentDiscount]]+Table4[[#This Row],[periodDividendPaymentSum]]</f>
        <v>0</v>
      </c>
      <c r="H18" s="33">
        <v>3042351450</v>
      </c>
      <c r="I18" s="33">
        <v>0</v>
      </c>
      <c r="J18" s="33">
        <f>Table4[[#This Row],[currentDividend]]-Table4[[#This Row],[dividendPaymentDiscount]]</f>
        <v>3042351450</v>
      </c>
    </row>
    <row r="19" spans="1:10" ht="23.1" customHeight="1">
      <c r="A19" s="33" t="s">
        <v>149</v>
      </c>
      <c r="B19" s="33" t="s">
        <v>372</v>
      </c>
      <c r="C19" s="33">
        <v>34328655</v>
      </c>
      <c r="D19" s="33">
        <v>630</v>
      </c>
      <c r="E19" s="33">
        <v>0</v>
      </c>
      <c r="F19" s="33">
        <v>0</v>
      </c>
      <c r="G19" s="33">
        <f>-Table4[[#This Row],[periodDividendPaymentDiscount]]+Table4[[#This Row],[periodDividendPaymentSum]]</f>
        <v>0</v>
      </c>
      <c r="H19" s="33">
        <v>21627052650</v>
      </c>
      <c r="I19" s="33">
        <v>0</v>
      </c>
      <c r="J19" s="33">
        <f>Table4[[#This Row],[currentDividend]]-Table4[[#This Row],[dividendPaymentDiscount]]</f>
        <v>21627052650</v>
      </c>
    </row>
    <row r="20" spans="1:10" ht="23.1" customHeight="1" thickBot="1">
      <c r="A20" s="33" t="s">
        <v>101</v>
      </c>
      <c r="B20" s="34"/>
      <c r="C20" s="34"/>
      <c r="D20" s="34"/>
      <c r="E20" s="35">
        <v>0</v>
      </c>
      <c r="F20" s="35">
        <f>SUM(F8:F19)</f>
        <v>-156983568</v>
      </c>
      <c r="G20" s="35">
        <f>SUM(G8:G19)</f>
        <v>156983568</v>
      </c>
      <c r="H20" s="35">
        <v>38751750024</v>
      </c>
      <c r="I20" s="35">
        <f>SUM(I8:I19)</f>
        <v>240191699</v>
      </c>
      <c r="J20" s="35">
        <f>Table4[[#This Row],[currentDividend]]-Table4[[#This Row],[dividendPaymentDiscount]]</f>
        <v>38511558325</v>
      </c>
    </row>
    <row r="21" spans="1:10" ht="21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59" orientation="landscape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rightToLeft="1" view="pageBreakPreview" topLeftCell="A53" zoomScale="60" zoomScaleNormal="106" workbookViewId="0">
      <selection activeCell="F11" sqref="F11"/>
    </sheetView>
  </sheetViews>
  <sheetFormatPr defaultRowHeight="22.5"/>
  <cols>
    <col min="1" max="1" width="33.28515625" style="36" customWidth="1"/>
    <col min="2" max="2" width="17" style="36" customWidth="1"/>
    <col min="3" max="3" width="13.5703125" style="36" customWidth="1"/>
    <col min="4" max="4" width="20.7109375" style="36" customWidth="1"/>
    <col min="5" max="5" width="18.5703125" style="36" customWidth="1"/>
    <col min="6" max="6" width="19.140625" style="36" customWidth="1"/>
    <col min="7" max="7" width="16.42578125" style="36" customWidth="1"/>
    <col min="8" max="8" width="14.28515625" style="36" customWidth="1"/>
    <col min="9" max="9" width="20" style="36" customWidth="1"/>
    <col min="10" max="10" width="17.140625" style="36" customWidth="1"/>
    <col min="11" max="11" width="9.140625" style="43" customWidth="1"/>
    <col min="12" max="16384" width="9.140625" style="43"/>
  </cols>
  <sheetData>
    <row r="1" spans="1:1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>
      <c r="A2" s="126" t="s">
        <v>260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25.5">
      <c r="A4" s="123" t="s">
        <v>373</v>
      </c>
      <c r="B4" s="123"/>
      <c r="C4" s="123"/>
      <c r="D4" s="123"/>
      <c r="E4" s="123"/>
    </row>
    <row r="5" spans="1:10" ht="16.5" customHeight="1">
      <c r="B5" s="124"/>
      <c r="C5" s="124"/>
      <c r="D5" s="124"/>
      <c r="E5" s="125" t="s">
        <v>406</v>
      </c>
      <c r="F5" s="125"/>
      <c r="G5" s="125"/>
      <c r="H5" s="125" t="s">
        <v>263</v>
      </c>
      <c r="I5" s="125"/>
      <c r="J5" s="125"/>
    </row>
    <row r="6" spans="1:10" ht="34.5" customHeight="1" thickBot="1">
      <c r="A6" s="36" t="s">
        <v>319</v>
      </c>
      <c r="B6" s="37" t="s">
        <v>374</v>
      </c>
      <c r="C6" s="37" t="s">
        <v>220</v>
      </c>
      <c r="D6" s="37" t="s">
        <v>11</v>
      </c>
      <c r="E6" s="37" t="s">
        <v>375</v>
      </c>
      <c r="F6" s="37" t="s">
        <v>351</v>
      </c>
      <c r="G6" s="37" t="s">
        <v>376</v>
      </c>
      <c r="H6" s="37" t="s">
        <v>375</v>
      </c>
      <c r="I6" s="37" t="s">
        <v>351</v>
      </c>
      <c r="J6" s="37" t="s">
        <v>376</v>
      </c>
    </row>
    <row r="7" spans="1:10" ht="22.5" hidden="1" customHeight="1">
      <c r="A7" s="9" t="s">
        <v>300</v>
      </c>
      <c r="B7" s="9" t="s">
        <v>377</v>
      </c>
      <c r="C7" s="9" t="s">
        <v>378</v>
      </c>
      <c r="D7" s="9" t="s">
        <v>379</v>
      </c>
      <c r="E7" s="9" t="s">
        <v>301</v>
      </c>
      <c r="F7" s="9" t="s">
        <v>380</v>
      </c>
      <c r="G7" s="9" t="s">
        <v>381</v>
      </c>
      <c r="H7" s="9" t="s">
        <v>382</v>
      </c>
      <c r="I7" s="9" t="s">
        <v>383</v>
      </c>
      <c r="J7" s="9" t="s">
        <v>303</v>
      </c>
    </row>
    <row r="8" spans="1:10" ht="23.1" customHeight="1">
      <c r="A8" s="9" t="s">
        <v>254</v>
      </c>
      <c r="B8" s="9" t="s">
        <v>384</v>
      </c>
      <c r="C8" s="9" t="s">
        <v>256</v>
      </c>
      <c r="D8" s="44">
        <v>15</v>
      </c>
      <c r="E8" s="9">
        <v>3681431011</v>
      </c>
      <c r="F8" s="9">
        <v>0</v>
      </c>
      <c r="G8" s="9">
        <f>Table5[[#This Row],[PeriodInterestAmount]]-F8</f>
        <v>3681431011</v>
      </c>
      <c r="H8" s="9">
        <v>7903288933</v>
      </c>
      <c r="I8" s="9">
        <v>0</v>
      </c>
      <c r="J8" s="9">
        <f>Table5[[#This Row],[CurrentInterest]]-Table5[[#This Row],[CurrentInterestDiscount]]</f>
        <v>7903288933</v>
      </c>
    </row>
    <row r="9" spans="1:10" ht="23.1" customHeight="1">
      <c r="A9" s="9" t="s">
        <v>281</v>
      </c>
      <c r="B9" s="9" t="s">
        <v>385</v>
      </c>
      <c r="C9" s="9" t="s">
        <v>386</v>
      </c>
      <c r="D9" s="44">
        <v>19</v>
      </c>
      <c r="E9" s="9">
        <v>0</v>
      </c>
      <c r="F9" s="9">
        <v>0</v>
      </c>
      <c r="G9" s="9">
        <f>Table5[[#This Row],[PeriodInterestAmount]]-F9</f>
        <v>0</v>
      </c>
      <c r="H9" s="9">
        <v>159836869</v>
      </c>
      <c r="I9" s="9">
        <v>0</v>
      </c>
      <c r="J9" s="9">
        <f>Table5[[#This Row],[CurrentInterest]]-Table5[[#This Row],[CurrentInterestDiscount]]</f>
        <v>159836869</v>
      </c>
    </row>
    <row r="10" spans="1:10" ht="23.1" customHeight="1">
      <c r="A10" s="9" t="s">
        <v>242</v>
      </c>
      <c r="B10" s="9" t="s">
        <v>387</v>
      </c>
      <c r="C10" s="9" t="s">
        <v>244</v>
      </c>
      <c r="D10" s="44">
        <v>17.899999999999999</v>
      </c>
      <c r="E10" s="9">
        <v>4352244155</v>
      </c>
      <c r="F10" s="9">
        <v>0</v>
      </c>
      <c r="G10" s="9">
        <f>Table5[[#This Row],[PeriodInterestAmount]]-F10</f>
        <v>4352244155</v>
      </c>
      <c r="H10" s="9">
        <v>13224593350</v>
      </c>
      <c r="I10" s="9">
        <v>0</v>
      </c>
      <c r="J10" s="9">
        <f>Table5[[#This Row],[CurrentInterest]]-Table5[[#This Row],[CurrentInterestDiscount]]</f>
        <v>13224593350</v>
      </c>
    </row>
    <row r="11" spans="1:10" ht="23.1" customHeight="1">
      <c r="A11" s="9" t="s">
        <v>251</v>
      </c>
      <c r="B11" s="9" t="s">
        <v>388</v>
      </c>
      <c r="C11" s="9" t="s">
        <v>253</v>
      </c>
      <c r="D11" s="44">
        <v>17</v>
      </c>
      <c r="E11" s="9">
        <v>4235569797</v>
      </c>
      <c r="F11" s="9">
        <v>0</v>
      </c>
      <c r="G11" s="9">
        <f>Table5[[#This Row],[PeriodInterestAmount]]-F11</f>
        <v>4235569797</v>
      </c>
      <c r="H11" s="9">
        <v>9220638340</v>
      </c>
      <c r="I11" s="9">
        <v>0</v>
      </c>
      <c r="J11" s="9">
        <f>Table5[[#This Row],[CurrentInterest]]-Table5[[#This Row],[CurrentInterestDiscount]]</f>
        <v>9220638340</v>
      </c>
    </row>
    <row r="12" spans="1:10" ht="23.1" customHeight="1">
      <c r="A12" s="9" t="s">
        <v>282</v>
      </c>
      <c r="B12" s="9" t="s">
        <v>389</v>
      </c>
      <c r="C12" s="9" t="s">
        <v>390</v>
      </c>
      <c r="D12" s="44">
        <v>17</v>
      </c>
      <c r="E12" s="9">
        <v>0</v>
      </c>
      <c r="F12" s="9">
        <v>0</v>
      </c>
      <c r="G12" s="9">
        <f>Table5[[#This Row],[PeriodInterestAmount]]-F12</f>
        <v>0</v>
      </c>
      <c r="H12" s="9">
        <v>1694168591</v>
      </c>
      <c r="I12" s="9">
        <v>0</v>
      </c>
      <c r="J12" s="9">
        <f>Table5[[#This Row],[CurrentInterest]]-Table5[[#This Row],[CurrentInterestDiscount]]</f>
        <v>1694168591</v>
      </c>
    </row>
    <row r="13" spans="1:10" ht="23.1" customHeight="1">
      <c r="A13" s="9" t="s">
        <v>288</v>
      </c>
      <c r="B13" s="9" t="s">
        <v>391</v>
      </c>
      <c r="C13" s="9" t="s">
        <v>392</v>
      </c>
      <c r="D13" s="44">
        <v>15</v>
      </c>
      <c r="E13" s="9">
        <v>0</v>
      </c>
      <c r="F13" s="9">
        <v>0</v>
      </c>
      <c r="G13" s="9">
        <f>Table5[[#This Row],[PeriodInterestAmount]]-F13</f>
        <v>0</v>
      </c>
      <c r="H13" s="9">
        <v>691232880</v>
      </c>
      <c r="I13" s="9">
        <v>0</v>
      </c>
      <c r="J13" s="9">
        <f>Table5[[#This Row],[CurrentInterest]]-Table5[[#This Row],[CurrentInterestDiscount]]</f>
        <v>691232880</v>
      </c>
    </row>
    <row r="14" spans="1:10" ht="23.1" customHeight="1">
      <c r="A14" s="9" t="s">
        <v>277</v>
      </c>
      <c r="B14" s="9" t="s">
        <v>387</v>
      </c>
      <c r="C14" s="9" t="s">
        <v>244</v>
      </c>
      <c r="D14" s="44">
        <v>17.899999999999999</v>
      </c>
      <c r="E14" s="9">
        <v>0</v>
      </c>
      <c r="F14" s="9">
        <v>0</v>
      </c>
      <c r="G14" s="9">
        <f>Table5[[#This Row],[PeriodInterestAmount]]-F14</f>
        <v>0</v>
      </c>
      <c r="H14" s="9">
        <v>679889226</v>
      </c>
      <c r="I14" s="9">
        <v>0</v>
      </c>
      <c r="J14" s="9">
        <f>Table5[[#This Row],[CurrentInterest]]-Table5[[#This Row],[CurrentInterestDiscount]]</f>
        <v>679889226</v>
      </c>
    </row>
    <row r="15" spans="1:10" ht="23.1" customHeight="1">
      <c r="A15" s="9" t="s">
        <v>230</v>
      </c>
      <c r="B15" s="9" t="s">
        <v>233</v>
      </c>
      <c r="C15" s="9" t="s">
        <v>233</v>
      </c>
      <c r="D15" s="44">
        <v>20</v>
      </c>
      <c r="E15" s="9">
        <v>293455100</v>
      </c>
      <c r="F15" s="9">
        <v>0</v>
      </c>
      <c r="G15" s="9">
        <f>Table5[[#This Row],[PeriodInterestAmount]]-F15</f>
        <v>293455100</v>
      </c>
      <c r="H15" s="9">
        <v>293455100</v>
      </c>
      <c r="I15" s="9">
        <v>0</v>
      </c>
      <c r="J15" s="9">
        <f>Table5[[#This Row],[CurrentInterest]]-Table5[[#This Row],[CurrentInterestDiscount]]</f>
        <v>293455100</v>
      </c>
    </row>
    <row r="16" spans="1:10" ht="23.1" customHeight="1">
      <c r="A16" s="9" t="s">
        <v>100</v>
      </c>
      <c r="B16" s="9" t="s">
        <v>398</v>
      </c>
      <c r="C16" s="9" t="s">
        <v>27</v>
      </c>
      <c r="D16" s="9">
        <v>15</v>
      </c>
      <c r="E16" s="9">
        <v>0</v>
      </c>
      <c r="F16" s="9">
        <v>0</v>
      </c>
      <c r="G16" s="9">
        <f>Table5[[#This Row],[PeriodInterestAmount]]-F16</f>
        <v>0</v>
      </c>
      <c r="H16" s="9">
        <v>984910087</v>
      </c>
      <c r="I16" s="9">
        <v>0</v>
      </c>
      <c r="J16" s="9">
        <f>Table5[[#This Row],[CurrentInterest]]-Table5[[#This Row],[CurrentInterestDiscount]]</f>
        <v>984910087</v>
      </c>
    </row>
    <row r="17" spans="1:10" ht="23.1" customHeight="1">
      <c r="A17" s="9" t="s">
        <v>99</v>
      </c>
      <c r="B17" s="9" t="s">
        <v>398</v>
      </c>
      <c r="C17" s="9" t="s">
        <v>27</v>
      </c>
      <c r="D17" s="9">
        <v>15</v>
      </c>
      <c r="E17" s="9">
        <v>60990374</v>
      </c>
      <c r="F17" s="9">
        <v>0</v>
      </c>
      <c r="G17" s="9">
        <f>Table5[[#This Row],[PeriodInterestAmount]]-F17</f>
        <v>60990374</v>
      </c>
      <c r="H17" s="9">
        <v>372817183</v>
      </c>
      <c r="I17" s="9">
        <v>0</v>
      </c>
      <c r="J17" s="9">
        <f>Table5[[#This Row],[CurrentInterest]]-Table5[[#This Row],[CurrentInterestDiscount]]</f>
        <v>372817183</v>
      </c>
    </row>
    <row r="18" spans="1:10" ht="23.1" customHeight="1">
      <c r="A18" s="9" t="s">
        <v>98</v>
      </c>
      <c r="B18" s="9" t="s">
        <v>398</v>
      </c>
      <c r="C18" s="9" t="s">
        <v>27</v>
      </c>
      <c r="D18" s="9">
        <v>15</v>
      </c>
      <c r="E18" s="9">
        <v>31478410</v>
      </c>
      <c r="F18" s="9">
        <v>0</v>
      </c>
      <c r="G18" s="9">
        <f>Table5[[#This Row],[PeriodInterestAmount]]-F18</f>
        <v>31478410</v>
      </c>
      <c r="H18" s="9">
        <v>283239833</v>
      </c>
      <c r="I18" s="9">
        <v>0</v>
      </c>
      <c r="J18" s="9">
        <f>Table5[[#This Row],[CurrentInterest]]-Table5[[#This Row],[CurrentInterestDiscount]]</f>
        <v>283239833</v>
      </c>
    </row>
    <row r="19" spans="1:10" ht="23.1" customHeight="1">
      <c r="A19" s="9" t="s">
        <v>97</v>
      </c>
      <c r="B19" s="9" t="s">
        <v>399</v>
      </c>
      <c r="C19" s="9" t="s">
        <v>27</v>
      </c>
      <c r="D19" s="9">
        <v>10</v>
      </c>
      <c r="E19" s="9">
        <v>366940437</v>
      </c>
      <c r="F19" s="9">
        <v>0</v>
      </c>
      <c r="G19" s="9">
        <f>Table5[[#This Row],[PeriodInterestAmount]]-F19</f>
        <v>366940437</v>
      </c>
      <c r="H19" s="9">
        <v>1156008080</v>
      </c>
      <c r="I19" s="9">
        <v>0</v>
      </c>
      <c r="J19" s="9">
        <f>Table5[[#This Row],[CurrentInterest]]-Table5[[#This Row],[CurrentInterestDiscount]]</f>
        <v>1156008080</v>
      </c>
    </row>
    <row r="20" spans="1:10" ht="23.1" customHeight="1">
      <c r="A20" s="9" t="s">
        <v>96</v>
      </c>
      <c r="B20" s="9" t="s">
        <v>399</v>
      </c>
      <c r="C20" s="9" t="s">
        <v>27</v>
      </c>
      <c r="D20" s="9">
        <v>10</v>
      </c>
      <c r="E20" s="9">
        <v>380314043</v>
      </c>
      <c r="F20" s="9">
        <v>0</v>
      </c>
      <c r="G20" s="9">
        <f>Table5[[#This Row],[PeriodInterestAmount]]-F20</f>
        <v>380314043</v>
      </c>
      <c r="H20" s="9">
        <v>570322758</v>
      </c>
      <c r="I20" s="9">
        <v>0</v>
      </c>
      <c r="J20" s="9">
        <f>Table5[[#This Row],[CurrentInterest]]-Table5[[#This Row],[CurrentInterestDiscount]]</f>
        <v>570322758</v>
      </c>
    </row>
    <row r="21" spans="1:10" ht="23.1" customHeight="1">
      <c r="A21" s="9" t="s">
        <v>95</v>
      </c>
      <c r="B21" s="9" t="s">
        <v>399</v>
      </c>
      <c r="C21" s="9" t="s">
        <v>27</v>
      </c>
      <c r="D21" s="9">
        <v>10</v>
      </c>
      <c r="E21" s="9">
        <v>474753518</v>
      </c>
      <c r="F21" s="9">
        <v>0</v>
      </c>
      <c r="G21" s="9">
        <f>Table5[[#This Row],[PeriodInterestAmount]]-F21</f>
        <v>474753518</v>
      </c>
      <c r="H21" s="9">
        <v>822888378</v>
      </c>
      <c r="I21" s="9">
        <v>0</v>
      </c>
      <c r="J21" s="9">
        <f>Table5[[#This Row],[CurrentInterest]]-Table5[[#This Row],[CurrentInterestDiscount]]</f>
        <v>822888378</v>
      </c>
    </row>
    <row r="22" spans="1:10" ht="23.1" customHeight="1">
      <c r="A22" s="9" t="s">
        <v>94</v>
      </c>
      <c r="B22" s="9" t="s">
        <v>400</v>
      </c>
      <c r="C22" s="9" t="s">
        <v>27</v>
      </c>
      <c r="D22" s="9">
        <v>10</v>
      </c>
      <c r="E22" s="9">
        <v>181263440</v>
      </c>
      <c r="F22" s="9">
        <v>0</v>
      </c>
      <c r="G22" s="9">
        <f>Table5[[#This Row],[PeriodInterestAmount]]-F22</f>
        <v>181263440</v>
      </c>
      <c r="H22" s="9">
        <v>362526880</v>
      </c>
      <c r="I22" s="9">
        <v>0</v>
      </c>
      <c r="J22" s="9">
        <f>Table5[[#This Row],[CurrentInterest]]-Table5[[#This Row],[CurrentInterestDiscount]]</f>
        <v>362526880</v>
      </c>
    </row>
    <row r="23" spans="1:10" ht="23.1" customHeight="1">
      <c r="A23" s="9" t="s">
        <v>93</v>
      </c>
      <c r="B23" s="9" t="s">
        <v>398</v>
      </c>
      <c r="C23" s="9" t="s">
        <v>27</v>
      </c>
      <c r="D23" s="9">
        <v>15</v>
      </c>
      <c r="E23" s="9">
        <v>99415288</v>
      </c>
      <c r="F23" s="9">
        <v>0</v>
      </c>
      <c r="G23" s="9">
        <f>Table5[[#This Row],[PeriodInterestAmount]]-F23</f>
        <v>99415288</v>
      </c>
      <c r="H23" s="9">
        <v>170278820</v>
      </c>
      <c r="I23" s="9">
        <v>0</v>
      </c>
      <c r="J23" s="9">
        <f>Table5[[#This Row],[CurrentInterest]]-Table5[[#This Row],[CurrentInterestDiscount]]</f>
        <v>170278820</v>
      </c>
    </row>
    <row r="24" spans="1:10" ht="23.1" customHeight="1">
      <c r="A24" s="9" t="s">
        <v>92</v>
      </c>
      <c r="B24" s="9" t="s">
        <v>399</v>
      </c>
      <c r="C24" s="9" t="s">
        <v>27</v>
      </c>
      <c r="D24" s="9">
        <v>10</v>
      </c>
      <c r="E24" s="9">
        <v>1463779918</v>
      </c>
      <c r="F24" s="9">
        <v>0</v>
      </c>
      <c r="G24" s="9">
        <f>Table5[[#This Row],[PeriodInterestAmount]]-F24</f>
        <v>1463779918</v>
      </c>
      <c r="H24" s="9">
        <v>1797526879</v>
      </c>
      <c r="I24" s="9">
        <v>0</v>
      </c>
      <c r="J24" s="9">
        <f>Table5[[#This Row],[CurrentInterest]]-Table5[[#This Row],[CurrentInterestDiscount]]</f>
        <v>1797526879</v>
      </c>
    </row>
    <row r="25" spans="1:10" ht="23.1" customHeight="1">
      <c r="A25" s="9" t="s">
        <v>91</v>
      </c>
      <c r="B25" s="9" t="s">
        <v>399</v>
      </c>
      <c r="C25" s="9" t="s">
        <v>27</v>
      </c>
      <c r="D25" s="9">
        <v>10</v>
      </c>
      <c r="E25" s="9">
        <v>0</v>
      </c>
      <c r="F25" s="9">
        <v>0</v>
      </c>
      <c r="G25" s="9">
        <f>Table5[[#This Row],[PeriodInterestAmount]]-F25</f>
        <v>0</v>
      </c>
      <c r="H25" s="9">
        <v>350185549</v>
      </c>
      <c r="I25" s="9">
        <v>0</v>
      </c>
      <c r="J25" s="9">
        <f>Table5[[#This Row],[CurrentInterest]]-Table5[[#This Row],[CurrentInterestDiscount]]</f>
        <v>350185549</v>
      </c>
    </row>
    <row r="26" spans="1:10" ht="23.1" customHeight="1">
      <c r="A26" s="9" t="s">
        <v>90</v>
      </c>
      <c r="B26" s="9" t="s">
        <v>399</v>
      </c>
      <c r="C26" s="9" t="s">
        <v>27</v>
      </c>
      <c r="D26" s="9">
        <v>10</v>
      </c>
      <c r="E26" s="9">
        <v>0</v>
      </c>
      <c r="F26" s="9">
        <v>0</v>
      </c>
      <c r="G26" s="9">
        <f>Table5[[#This Row],[PeriodInterestAmount]]-F26</f>
        <v>0</v>
      </c>
      <c r="H26" s="9">
        <v>167843229</v>
      </c>
      <c r="I26" s="9">
        <v>0</v>
      </c>
      <c r="J26" s="9">
        <f>Table5[[#This Row],[CurrentInterest]]-Table5[[#This Row],[CurrentInterestDiscount]]</f>
        <v>167843229</v>
      </c>
    </row>
    <row r="27" spans="1:10" ht="23.1" customHeight="1">
      <c r="A27" s="9" t="s">
        <v>89</v>
      </c>
      <c r="B27" s="9" t="s">
        <v>399</v>
      </c>
      <c r="C27" s="9" t="s">
        <v>27</v>
      </c>
      <c r="D27" s="9">
        <v>10</v>
      </c>
      <c r="E27" s="9">
        <v>121286074</v>
      </c>
      <c r="F27" s="9">
        <v>0</v>
      </c>
      <c r="G27" s="9">
        <f>Table5[[#This Row],[PeriodInterestAmount]]-F27</f>
        <v>121286074</v>
      </c>
      <c r="H27" s="9">
        <v>192143089</v>
      </c>
      <c r="I27" s="9">
        <v>0</v>
      </c>
      <c r="J27" s="9">
        <f>Table5[[#This Row],[CurrentInterest]]-Table5[[#This Row],[CurrentInterestDiscount]]</f>
        <v>192143089</v>
      </c>
    </row>
    <row r="28" spans="1:10" ht="23.1" customHeight="1">
      <c r="A28" s="9" t="s">
        <v>88</v>
      </c>
      <c r="B28" s="9" t="s">
        <v>400</v>
      </c>
      <c r="C28" s="9" t="s">
        <v>27</v>
      </c>
      <c r="D28" s="9">
        <v>10</v>
      </c>
      <c r="E28" s="9">
        <v>0</v>
      </c>
      <c r="F28" s="9">
        <v>0</v>
      </c>
      <c r="G28" s="9">
        <f>Table5[[#This Row],[PeriodInterestAmount]]-F28</f>
        <v>0</v>
      </c>
      <c r="H28" s="9">
        <v>122607806</v>
      </c>
      <c r="I28" s="9">
        <v>0</v>
      </c>
      <c r="J28" s="9">
        <f>Table5[[#This Row],[CurrentInterest]]-Table5[[#This Row],[CurrentInterestDiscount]]</f>
        <v>122607806</v>
      </c>
    </row>
    <row r="29" spans="1:10" ht="23.1" customHeight="1">
      <c r="A29" s="9" t="s">
        <v>87</v>
      </c>
      <c r="B29" s="9" t="s">
        <v>400</v>
      </c>
      <c r="C29" s="9" t="s">
        <v>27</v>
      </c>
      <c r="D29" s="9">
        <v>10</v>
      </c>
      <c r="E29" s="9">
        <v>41867754</v>
      </c>
      <c r="F29" s="9">
        <v>0</v>
      </c>
      <c r="G29" s="9">
        <f>Table5[[#This Row],[PeriodInterestAmount]]-F29</f>
        <v>41867754</v>
      </c>
      <c r="H29" s="9">
        <v>200146412</v>
      </c>
      <c r="I29" s="9">
        <v>0</v>
      </c>
      <c r="J29" s="9">
        <f>Table5[[#This Row],[CurrentInterest]]-Table5[[#This Row],[CurrentInterestDiscount]]</f>
        <v>200146412</v>
      </c>
    </row>
    <row r="30" spans="1:10" ht="23.1" customHeight="1">
      <c r="A30" s="9" t="s">
        <v>85</v>
      </c>
      <c r="B30" s="9" t="s">
        <v>401</v>
      </c>
      <c r="C30" s="9" t="s">
        <v>27</v>
      </c>
      <c r="D30" s="9">
        <v>10</v>
      </c>
      <c r="E30" s="9">
        <v>415560691</v>
      </c>
      <c r="F30" s="9">
        <v>0</v>
      </c>
      <c r="G30" s="9">
        <f>Table5[[#This Row],[PeriodInterestAmount]]-F30</f>
        <v>415560691</v>
      </c>
      <c r="H30" s="9">
        <v>415560691</v>
      </c>
      <c r="I30" s="9">
        <v>0</v>
      </c>
      <c r="J30" s="9">
        <f>Table5[[#This Row],[CurrentInterest]]-Table5[[#This Row],[CurrentInterestDiscount]]</f>
        <v>415560691</v>
      </c>
    </row>
    <row r="31" spans="1:10" ht="23.1" customHeight="1">
      <c r="A31" s="9" t="s">
        <v>83</v>
      </c>
      <c r="B31" s="9" t="s">
        <v>398</v>
      </c>
      <c r="C31" s="9" t="s">
        <v>27</v>
      </c>
      <c r="D31" s="9">
        <v>15</v>
      </c>
      <c r="E31" s="9">
        <v>240908154</v>
      </c>
      <c r="F31" s="9">
        <v>0</v>
      </c>
      <c r="G31" s="9">
        <f>Table5[[#This Row],[PeriodInterestAmount]]-F31</f>
        <v>240908154</v>
      </c>
      <c r="H31" s="9">
        <v>3331636937</v>
      </c>
      <c r="I31" s="9">
        <v>0</v>
      </c>
      <c r="J31" s="9">
        <f>Table5[[#This Row],[CurrentInterest]]-Table5[[#This Row],[CurrentInterestDiscount]]</f>
        <v>3331636937</v>
      </c>
    </row>
    <row r="32" spans="1:10" ht="23.1" customHeight="1">
      <c r="A32" s="9" t="s">
        <v>82</v>
      </c>
      <c r="B32" s="9" t="s">
        <v>27</v>
      </c>
      <c r="C32" s="9" t="s">
        <v>27</v>
      </c>
      <c r="D32" s="9">
        <v>10</v>
      </c>
      <c r="E32" s="9">
        <v>0</v>
      </c>
      <c r="F32" s="9">
        <v>0</v>
      </c>
      <c r="G32" s="9">
        <f>Table5[[#This Row],[PeriodInterestAmount]]-F32</f>
        <v>0</v>
      </c>
      <c r="H32" s="9">
        <v>57443965</v>
      </c>
      <c r="I32" s="9">
        <v>0</v>
      </c>
      <c r="J32" s="9">
        <f>Table5[[#This Row],[CurrentInterest]]-Table5[[#This Row],[CurrentInterestDiscount]]</f>
        <v>57443965</v>
      </c>
    </row>
    <row r="33" spans="1:10" ht="23.1" customHeight="1">
      <c r="A33" s="9" t="s">
        <v>81</v>
      </c>
      <c r="B33" s="9" t="s">
        <v>399</v>
      </c>
      <c r="C33" s="9" t="s">
        <v>27</v>
      </c>
      <c r="D33" s="9">
        <v>10</v>
      </c>
      <c r="E33" s="9">
        <v>63965502</v>
      </c>
      <c r="F33" s="9">
        <v>0</v>
      </c>
      <c r="G33" s="9">
        <f>Table5[[#This Row],[PeriodInterestAmount]]-F33</f>
        <v>63965502</v>
      </c>
      <c r="H33" s="9">
        <v>125214382</v>
      </c>
      <c r="I33" s="9">
        <v>0</v>
      </c>
      <c r="J33" s="9">
        <f>Table5[[#This Row],[CurrentInterest]]-Table5[[#This Row],[CurrentInterestDiscount]]</f>
        <v>125214382</v>
      </c>
    </row>
    <row r="34" spans="1:10" ht="23.1" customHeight="1">
      <c r="A34" s="9" t="s">
        <v>80</v>
      </c>
      <c r="B34" s="9" t="s">
        <v>399</v>
      </c>
      <c r="C34" s="9" t="s">
        <v>27</v>
      </c>
      <c r="D34" s="9">
        <v>10</v>
      </c>
      <c r="E34" s="9">
        <v>373054192</v>
      </c>
      <c r="F34" s="9">
        <v>0</v>
      </c>
      <c r="G34" s="9">
        <f>Table5[[#This Row],[PeriodInterestAmount]]-F34</f>
        <v>373054192</v>
      </c>
      <c r="H34" s="9">
        <v>536472761</v>
      </c>
      <c r="I34" s="9">
        <v>0</v>
      </c>
      <c r="J34" s="9">
        <f>Table5[[#This Row],[CurrentInterest]]-Table5[[#This Row],[CurrentInterestDiscount]]</f>
        <v>536472761</v>
      </c>
    </row>
    <row r="35" spans="1:10" ht="23.1" customHeight="1">
      <c r="A35" s="9" t="s">
        <v>79</v>
      </c>
      <c r="B35" s="9" t="s">
        <v>399</v>
      </c>
      <c r="C35" s="9" t="s">
        <v>27</v>
      </c>
      <c r="D35" s="9">
        <v>10</v>
      </c>
      <c r="E35" s="9">
        <v>244652830</v>
      </c>
      <c r="F35" s="9">
        <v>0</v>
      </c>
      <c r="G35" s="9">
        <f>Table5[[#This Row],[PeriodInterestAmount]]-F35</f>
        <v>244652830</v>
      </c>
      <c r="H35" s="9">
        <v>294825539</v>
      </c>
      <c r="I35" s="9">
        <v>0</v>
      </c>
      <c r="J35" s="9">
        <f>Table5[[#This Row],[CurrentInterest]]-Table5[[#This Row],[CurrentInterestDiscount]]</f>
        <v>294825539</v>
      </c>
    </row>
    <row r="36" spans="1:10" ht="23.1" customHeight="1">
      <c r="A36" s="9" t="s">
        <v>78</v>
      </c>
      <c r="B36" s="9" t="s">
        <v>400</v>
      </c>
      <c r="C36" s="9" t="s">
        <v>27</v>
      </c>
      <c r="D36" s="9">
        <v>10</v>
      </c>
      <c r="E36" s="9">
        <v>126138081</v>
      </c>
      <c r="F36" s="9">
        <v>0</v>
      </c>
      <c r="G36" s="9">
        <f>Table5[[#This Row],[PeriodInterestAmount]]-F36</f>
        <v>126138081</v>
      </c>
      <c r="H36" s="9">
        <v>205142726</v>
      </c>
      <c r="I36" s="9">
        <v>0</v>
      </c>
      <c r="J36" s="9">
        <f>Table5[[#This Row],[CurrentInterest]]-Table5[[#This Row],[CurrentInterestDiscount]]</f>
        <v>205142726</v>
      </c>
    </row>
    <row r="37" spans="1:10" ht="23.1" customHeight="1">
      <c r="A37" s="9" t="s">
        <v>77</v>
      </c>
      <c r="B37" s="9" t="s">
        <v>400</v>
      </c>
      <c r="C37" s="9" t="s">
        <v>27</v>
      </c>
      <c r="D37" s="9">
        <v>10</v>
      </c>
      <c r="E37" s="9">
        <v>226617403</v>
      </c>
      <c r="F37" s="9">
        <v>0</v>
      </c>
      <c r="G37" s="9">
        <f>Table5[[#This Row],[PeriodInterestAmount]]-F37</f>
        <v>226617403</v>
      </c>
      <c r="H37" s="9">
        <v>263975689</v>
      </c>
      <c r="I37" s="9">
        <v>0</v>
      </c>
      <c r="J37" s="9">
        <f>Table5[[#This Row],[CurrentInterest]]-Table5[[#This Row],[CurrentInterestDiscount]]</f>
        <v>263975689</v>
      </c>
    </row>
    <row r="38" spans="1:10" ht="23.1" customHeight="1">
      <c r="A38" s="9" t="s">
        <v>74</v>
      </c>
      <c r="B38" s="9" t="s">
        <v>398</v>
      </c>
      <c r="C38" s="9" t="s">
        <v>27</v>
      </c>
      <c r="D38" s="9">
        <v>15</v>
      </c>
      <c r="E38" s="9">
        <v>141109888</v>
      </c>
      <c r="F38" s="9">
        <v>0</v>
      </c>
      <c r="G38" s="9">
        <f>Table5[[#This Row],[PeriodInterestAmount]]-F38</f>
        <v>141109888</v>
      </c>
      <c r="H38" s="9">
        <v>501423523</v>
      </c>
      <c r="I38" s="9">
        <v>0</v>
      </c>
      <c r="J38" s="9">
        <f>Table5[[#This Row],[CurrentInterest]]-Table5[[#This Row],[CurrentInterestDiscount]]</f>
        <v>501423523</v>
      </c>
    </row>
    <row r="39" spans="1:10" ht="23.1" customHeight="1">
      <c r="A39" s="9" t="s">
        <v>73</v>
      </c>
      <c r="B39" s="9" t="s">
        <v>398</v>
      </c>
      <c r="C39" s="9" t="s">
        <v>27</v>
      </c>
      <c r="D39" s="9">
        <v>15</v>
      </c>
      <c r="E39" s="9">
        <v>1734857166</v>
      </c>
      <c r="F39" s="9">
        <v>0</v>
      </c>
      <c r="G39" s="9">
        <f>Table5[[#This Row],[PeriodInterestAmount]]-F39</f>
        <v>1734857166</v>
      </c>
      <c r="H39" s="9">
        <v>4315368674</v>
      </c>
      <c r="I39" s="9">
        <v>0</v>
      </c>
      <c r="J39" s="9">
        <f>Table5[[#This Row],[CurrentInterest]]-Table5[[#This Row],[CurrentInterestDiscount]]</f>
        <v>4315368674</v>
      </c>
    </row>
    <row r="40" spans="1:10" ht="23.1" customHeight="1">
      <c r="A40" s="9" t="s">
        <v>71</v>
      </c>
      <c r="B40" s="9" t="s">
        <v>399</v>
      </c>
      <c r="C40" s="9" t="s">
        <v>27</v>
      </c>
      <c r="D40" s="9">
        <v>10</v>
      </c>
      <c r="E40" s="9">
        <v>98617093</v>
      </c>
      <c r="F40" s="9">
        <v>0</v>
      </c>
      <c r="G40" s="9">
        <f>Table5[[#This Row],[PeriodInterestAmount]]-F40</f>
        <v>98617093</v>
      </c>
      <c r="H40" s="9">
        <v>511213235</v>
      </c>
      <c r="I40" s="9">
        <v>0</v>
      </c>
      <c r="J40" s="9">
        <f>Table5[[#This Row],[CurrentInterest]]-Table5[[#This Row],[CurrentInterestDiscount]]</f>
        <v>511213235</v>
      </c>
    </row>
    <row r="41" spans="1:10" ht="23.1" customHeight="1">
      <c r="A41" s="9" t="s">
        <v>70</v>
      </c>
      <c r="B41" s="9" t="s">
        <v>399</v>
      </c>
      <c r="C41" s="9" t="s">
        <v>27</v>
      </c>
      <c r="D41" s="9">
        <v>10</v>
      </c>
      <c r="E41" s="9">
        <v>179867118</v>
      </c>
      <c r="F41" s="9">
        <v>0</v>
      </c>
      <c r="G41" s="9">
        <f>Table5[[#This Row],[PeriodInterestAmount]]-F41</f>
        <v>179867118</v>
      </c>
      <c r="H41" s="9">
        <v>701320313</v>
      </c>
      <c r="I41" s="9">
        <v>0</v>
      </c>
      <c r="J41" s="9">
        <f>Table5[[#This Row],[CurrentInterest]]-Table5[[#This Row],[CurrentInterestDiscount]]</f>
        <v>701320313</v>
      </c>
    </row>
    <row r="42" spans="1:10" ht="23.1" customHeight="1">
      <c r="A42" s="9" t="s">
        <v>69</v>
      </c>
      <c r="B42" s="9" t="s">
        <v>399</v>
      </c>
      <c r="C42" s="9" t="s">
        <v>27</v>
      </c>
      <c r="D42" s="9">
        <v>10</v>
      </c>
      <c r="E42" s="9">
        <v>138708282</v>
      </c>
      <c r="F42" s="9">
        <v>0</v>
      </c>
      <c r="G42" s="9">
        <f>Table5[[#This Row],[PeriodInterestAmount]]-F42</f>
        <v>138708282</v>
      </c>
      <c r="H42" s="9">
        <v>342940007</v>
      </c>
      <c r="I42" s="9">
        <v>0</v>
      </c>
      <c r="J42" s="9">
        <f>Table5[[#This Row],[CurrentInterest]]-Table5[[#This Row],[CurrentInterestDiscount]]</f>
        <v>342940007</v>
      </c>
    </row>
    <row r="43" spans="1:10" ht="23.1" customHeight="1">
      <c r="A43" s="9" t="s">
        <v>68</v>
      </c>
      <c r="B43" s="9" t="s">
        <v>399</v>
      </c>
      <c r="C43" s="9" t="s">
        <v>27</v>
      </c>
      <c r="D43" s="9">
        <v>10</v>
      </c>
      <c r="E43" s="9">
        <v>26278263</v>
      </c>
      <c r="F43" s="9">
        <v>0</v>
      </c>
      <c r="G43" s="9">
        <f>Table5[[#This Row],[PeriodInterestAmount]]-F43</f>
        <v>26278263</v>
      </c>
      <c r="H43" s="9">
        <v>63903450</v>
      </c>
      <c r="I43" s="9">
        <v>0</v>
      </c>
      <c r="J43" s="9">
        <f>Table5[[#This Row],[CurrentInterest]]-Table5[[#This Row],[CurrentInterestDiscount]]</f>
        <v>63903450</v>
      </c>
    </row>
    <row r="44" spans="1:10" ht="23.1" customHeight="1">
      <c r="A44" s="9" t="s">
        <v>67</v>
      </c>
      <c r="B44" s="9" t="s">
        <v>400</v>
      </c>
      <c r="C44" s="9" t="s">
        <v>27</v>
      </c>
      <c r="D44" s="9">
        <v>10</v>
      </c>
      <c r="E44" s="9">
        <v>136056576</v>
      </c>
      <c r="F44" s="9">
        <v>0</v>
      </c>
      <c r="G44" s="9">
        <f>Table5[[#This Row],[PeriodInterestAmount]]-F44</f>
        <v>136056576</v>
      </c>
      <c r="H44" s="9">
        <v>242114564</v>
      </c>
      <c r="I44" s="9">
        <v>0</v>
      </c>
      <c r="J44" s="9">
        <f>Table5[[#This Row],[CurrentInterest]]-Table5[[#This Row],[CurrentInterestDiscount]]</f>
        <v>242114564</v>
      </c>
    </row>
    <row r="45" spans="1:10" ht="23.1" customHeight="1">
      <c r="A45" s="9" t="s">
        <v>66</v>
      </c>
      <c r="B45" s="9" t="s">
        <v>400</v>
      </c>
      <c r="C45" s="9" t="s">
        <v>27</v>
      </c>
      <c r="D45" s="9">
        <v>10</v>
      </c>
      <c r="E45" s="9">
        <v>217724178</v>
      </c>
      <c r="F45" s="9">
        <v>0</v>
      </c>
      <c r="G45" s="9">
        <f>Table5[[#This Row],[PeriodInterestAmount]]-F45</f>
        <v>217724178</v>
      </c>
      <c r="H45" s="9">
        <v>234106115</v>
      </c>
      <c r="I45" s="9">
        <v>0</v>
      </c>
      <c r="J45" s="9">
        <f>Table5[[#This Row],[CurrentInterest]]-Table5[[#This Row],[CurrentInterestDiscount]]</f>
        <v>234106115</v>
      </c>
    </row>
    <row r="46" spans="1:10" ht="23.1" customHeight="1">
      <c r="A46" s="9" t="s">
        <v>64</v>
      </c>
      <c r="B46" s="9" t="s">
        <v>398</v>
      </c>
      <c r="C46" s="9" t="s">
        <v>27</v>
      </c>
      <c r="D46" s="9">
        <v>15</v>
      </c>
      <c r="E46" s="9">
        <v>200761356</v>
      </c>
      <c r="F46" s="9">
        <v>0</v>
      </c>
      <c r="G46" s="9">
        <f>Table5[[#This Row],[PeriodInterestAmount]]-F46</f>
        <v>200761356</v>
      </c>
      <c r="H46" s="9">
        <v>1385937549</v>
      </c>
      <c r="I46" s="9">
        <v>0</v>
      </c>
      <c r="J46" s="9">
        <f>Table5[[#This Row],[CurrentInterest]]-Table5[[#This Row],[CurrentInterestDiscount]]</f>
        <v>1385937549</v>
      </c>
    </row>
    <row r="47" spans="1:10" ht="23.1" customHeight="1">
      <c r="A47" s="9" t="s">
        <v>63</v>
      </c>
      <c r="B47" s="9" t="s">
        <v>399</v>
      </c>
      <c r="C47" s="9" t="s">
        <v>27</v>
      </c>
      <c r="D47" s="9">
        <v>10</v>
      </c>
      <c r="E47" s="9">
        <v>176204044</v>
      </c>
      <c r="F47" s="9">
        <v>0</v>
      </c>
      <c r="G47" s="9">
        <f>Table5[[#This Row],[PeriodInterestAmount]]-F47</f>
        <v>176204044</v>
      </c>
      <c r="H47" s="9">
        <v>208075414</v>
      </c>
      <c r="I47" s="9">
        <v>0</v>
      </c>
      <c r="J47" s="9">
        <f>Table5[[#This Row],[CurrentInterest]]-Table5[[#This Row],[CurrentInterestDiscount]]</f>
        <v>208075414</v>
      </c>
    </row>
    <row r="48" spans="1:10" ht="23.1" customHeight="1">
      <c r="A48" s="9" t="s">
        <v>62</v>
      </c>
      <c r="B48" s="9" t="s">
        <v>402</v>
      </c>
      <c r="C48" s="9" t="s">
        <v>27</v>
      </c>
      <c r="D48" s="9">
        <v>10</v>
      </c>
      <c r="E48" s="9">
        <v>0</v>
      </c>
      <c r="F48" s="9">
        <v>0</v>
      </c>
      <c r="G48" s="9">
        <f>Table5[[#This Row],[PeriodInterestAmount]]-F48</f>
        <v>0</v>
      </c>
      <c r="H48" s="9">
        <v>63510303</v>
      </c>
      <c r="I48" s="9">
        <v>0</v>
      </c>
      <c r="J48" s="9">
        <f>Table5[[#This Row],[CurrentInterest]]-Table5[[#This Row],[CurrentInterestDiscount]]</f>
        <v>63510303</v>
      </c>
    </row>
    <row r="49" spans="1:10" ht="23.1" customHeight="1">
      <c r="A49" s="9" t="s">
        <v>61</v>
      </c>
      <c r="B49" s="9" t="s">
        <v>399</v>
      </c>
      <c r="C49" s="9" t="s">
        <v>27</v>
      </c>
      <c r="D49" s="9">
        <v>10</v>
      </c>
      <c r="E49" s="9">
        <v>24264728</v>
      </c>
      <c r="F49" s="9">
        <v>0</v>
      </c>
      <c r="G49" s="9">
        <f>Table5[[#This Row],[PeriodInterestAmount]]-F49</f>
        <v>24264728</v>
      </c>
      <c r="H49" s="9">
        <v>86358257</v>
      </c>
      <c r="I49" s="9">
        <v>0</v>
      </c>
      <c r="J49" s="9">
        <f>Table5[[#This Row],[CurrentInterest]]-Table5[[#This Row],[CurrentInterestDiscount]]</f>
        <v>86358257</v>
      </c>
    </row>
    <row r="50" spans="1:10" ht="23.1" customHeight="1">
      <c r="A50" s="9" t="s">
        <v>60</v>
      </c>
      <c r="B50" s="9" t="s">
        <v>399</v>
      </c>
      <c r="C50" s="9" t="s">
        <v>27</v>
      </c>
      <c r="D50" s="9">
        <v>10</v>
      </c>
      <c r="E50" s="9">
        <v>333113139</v>
      </c>
      <c r="F50" s="9">
        <v>0</v>
      </c>
      <c r="G50" s="9">
        <f>Table5[[#This Row],[PeriodInterestAmount]]-F50</f>
        <v>333113139</v>
      </c>
      <c r="H50" s="9">
        <v>604064418</v>
      </c>
      <c r="I50" s="9">
        <v>0</v>
      </c>
      <c r="J50" s="9">
        <f>Table5[[#This Row],[CurrentInterest]]-Table5[[#This Row],[CurrentInterestDiscount]]</f>
        <v>604064418</v>
      </c>
    </row>
    <row r="51" spans="1:10" ht="23.1" customHeight="1">
      <c r="A51" s="9" t="s">
        <v>59</v>
      </c>
      <c r="B51" s="9" t="s">
        <v>400</v>
      </c>
      <c r="C51" s="9" t="s">
        <v>27</v>
      </c>
      <c r="D51" s="9">
        <v>10</v>
      </c>
      <c r="E51" s="9">
        <v>82517275</v>
      </c>
      <c r="F51" s="9">
        <v>0</v>
      </c>
      <c r="G51" s="9">
        <f>Table5[[#This Row],[PeriodInterestAmount]]-F51</f>
        <v>82517275</v>
      </c>
      <c r="H51" s="9">
        <v>302913961</v>
      </c>
      <c r="I51" s="9">
        <v>0</v>
      </c>
      <c r="J51" s="9">
        <f>Table5[[#This Row],[CurrentInterest]]-Table5[[#This Row],[CurrentInterestDiscount]]</f>
        <v>302913961</v>
      </c>
    </row>
    <row r="52" spans="1:10" ht="23.1" customHeight="1">
      <c r="A52" s="9" t="s">
        <v>57</v>
      </c>
      <c r="B52" s="9" t="s">
        <v>400</v>
      </c>
      <c r="C52" s="9" t="s">
        <v>27</v>
      </c>
      <c r="D52" s="9">
        <v>10</v>
      </c>
      <c r="E52" s="9">
        <v>104239452</v>
      </c>
      <c r="F52" s="9">
        <v>0</v>
      </c>
      <c r="G52" s="9">
        <f>Table5[[#This Row],[PeriodInterestAmount]]-F52</f>
        <v>104239452</v>
      </c>
      <c r="H52" s="9">
        <v>141045138</v>
      </c>
      <c r="I52" s="9">
        <v>0</v>
      </c>
      <c r="J52" s="9">
        <f>Table5[[#This Row],[CurrentInterest]]-Table5[[#This Row],[CurrentInterestDiscount]]</f>
        <v>141045138</v>
      </c>
    </row>
    <row r="53" spans="1:10" ht="23.1" customHeight="1">
      <c r="A53" s="9" t="s">
        <v>56</v>
      </c>
      <c r="B53" s="9" t="s">
        <v>401</v>
      </c>
      <c r="C53" s="9" t="s">
        <v>27</v>
      </c>
      <c r="D53" s="9">
        <v>10</v>
      </c>
      <c r="E53" s="9">
        <v>186376166</v>
      </c>
      <c r="F53" s="9">
        <v>0</v>
      </c>
      <c r="G53" s="9">
        <f>Table5[[#This Row],[PeriodInterestAmount]]-F53</f>
        <v>186376166</v>
      </c>
      <c r="H53" s="9">
        <v>186376166</v>
      </c>
      <c r="I53" s="9">
        <v>0</v>
      </c>
      <c r="J53" s="9">
        <f>Table5[[#This Row],[CurrentInterest]]-Table5[[#This Row],[CurrentInterestDiscount]]</f>
        <v>186376166</v>
      </c>
    </row>
    <row r="54" spans="1:10" ht="23.1" customHeight="1">
      <c r="A54" s="9" t="s">
        <v>55</v>
      </c>
      <c r="B54" s="9" t="s">
        <v>398</v>
      </c>
      <c r="C54" s="9" t="s">
        <v>27</v>
      </c>
      <c r="D54" s="9">
        <v>15</v>
      </c>
      <c r="E54" s="9">
        <v>31528363</v>
      </c>
      <c r="F54" s="9">
        <v>0</v>
      </c>
      <c r="G54" s="9">
        <f>Table5[[#This Row],[PeriodInterestAmount]]-F54</f>
        <v>31528363</v>
      </c>
      <c r="H54" s="9">
        <v>364826208</v>
      </c>
      <c r="I54" s="9">
        <v>0</v>
      </c>
      <c r="J54" s="9">
        <f>Table5[[#This Row],[CurrentInterest]]-Table5[[#This Row],[CurrentInterestDiscount]]</f>
        <v>364826208</v>
      </c>
    </row>
    <row r="55" spans="1:10" ht="23.1" customHeight="1">
      <c r="A55" s="9" t="s">
        <v>54</v>
      </c>
      <c r="B55" s="9" t="s">
        <v>398</v>
      </c>
      <c r="C55" s="9" t="s">
        <v>27</v>
      </c>
      <c r="D55" s="9">
        <v>15</v>
      </c>
      <c r="E55" s="9">
        <v>270852595</v>
      </c>
      <c r="F55" s="9">
        <v>0</v>
      </c>
      <c r="G55" s="9">
        <f>Table5[[#This Row],[PeriodInterestAmount]]-F55</f>
        <v>270852595</v>
      </c>
      <c r="H55" s="9">
        <v>645691550</v>
      </c>
      <c r="I55" s="9">
        <v>0</v>
      </c>
      <c r="J55" s="9">
        <f>Table5[[#This Row],[CurrentInterest]]-Table5[[#This Row],[CurrentInterestDiscount]]</f>
        <v>645691550</v>
      </c>
    </row>
    <row r="56" spans="1:10" ht="23.1" customHeight="1">
      <c r="A56" s="9" t="s">
        <v>53</v>
      </c>
      <c r="B56" s="9" t="s">
        <v>398</v>
      </c>
      <c r="C56" s="9" t="s">
        <v>27</v>
      </c>
      <c r="D56" s="9">
        <v>15</v>
      </c>
      <c r="E56" s="9">
        <v>520800341</v>
      </c>
      <c r="F56" s="9">
        <v>0</v>
      </c>
      <c r="G56" s="9">
        <f>Table5[[#This Row],[PeriodInterestAmount]]-F56</f>
        <v>520800341</v>
      </c>
      <c r="H56" s="9">
        <v>520800341</v>
      </c>
      <c r="I56" s="9">
        <v>0</v>
      </c>
      <c r="J56" s="9">
        <f>Table5[[#This Row],[CurrentInterest]]-Table5[[#This Row],[CurrentInterestDiscount]]</f>
        <v>520800341</v>
      </c>
    </row>
    <row r="57" spans="1:10" ht="23.1" customHeight="1">
      <c r="A57" s="9" t="s">
        <v>52</v>
      </c>
      <c r="B57" s="9" t="s">
        <v>399</v>
      </c>
      <c r="C57" s="9" t="s">
        <v>27</v>
      </c>
      <c r="D57" s="9">
        <v>10</v>
      </c>
      <c r="E57" s="9">
        <v>1022464083</v>
      </c>
      <c r="F57" s="9">
        <v>0</v>
      </c>
      <c r="G57" s="9">
        <f>Table5[[#This Row],[PeriodInterestAmount]]-F57</f>
        <v>1022464083</v>
      </c>
      <c r="H57" s="9">
        <v>1256647350</v>
      </c>
      <c r="I57" s="9">
        <v>0</v>
      </c>
      <c r="J57" s="9">
        <f>Table5[[#This Row],[CurrentInterest]]-Table5[[#This Row],[CurrentInterestDiscount]]</f>
        <v>1256647350</v>
      </c>
    </row>
    <row r="58" spans="1:10" ht="23.1" customHeight="1">
      <c r="A58" s="9" t="s">
        <v>51</v>
      </c>
      <c r="B58" s="9" t="s">
        <v>399</v>
      </c>
      <c r="C58" s="9" t="s">
        <v>27</v>
      </c>
      <c r="D58" s="9">
        <v>10</v>
      </c>
      <c r="E58" s="9">
        <v>0</v>
      </c>
      <c r="F58" s="9">
        <v>0</v>
      </c>
      <c r="G58" s="9">
        <f>Table5[[#This Row],[PeriodInterestAmount]]-F58</f>
        <v>0</v>
      </c>
      <c r="H58" s="9">
        <v>99675980</v>
      </c>
      <c r="I58" s="9">
        <v>0</v>
      </c>
      <c r="J58" s="9">
        <f>Table5[[#This Row],[CurrentInterest]]-Table5[[#This Row],[CurrentInterestDiscount]]</f>
        <v>99675980</v>
      </c>
    </row>
    <row r="59" spans="1:10" ht="23.1" customHeight="1">
      <c r="A59" s="9" t="s">
        <v>50</v>
      </c>
      <c r="B59" s="9" t="s">
        <v>399</v>
      </c>
      <c r="C59" s="9" t="s">
        <v>27</v>
      </c>
      <c r="D59" s="9">
        <v>10</v>
      </c>
      <c r="E59" s="9">
        <v>219812282</v>
      </c>
      <c r="F59" s="9">
        <v>0</v>
      </c>
      <c r="G59" s="9">
        <f>Table5[[#This Row],[PeriodInterestAmount]]-F59</f>
        <v>219812282</v>
      </c>
      <c r="H59" s="9">
        <v>443542855</v>
      </c>
      <c r="I59" s="9">
        <v>0</v>
      </c>
      <c r="J59" s="9">
        <f>Table5[[#This Row],[CurrentInterest]]-Table5[[#This Row],[CurrentInterestDiscount]]</f>
        <v>443542855</v>
      </c>
    </row>
    <row r="60" spans="1:10" ht="23.1" customHeight="1">
      <c r="A60" s="9" t="s">
        <v>49</v>
      </c>
      <c r="B60" s="9" t="s">
        <v>399</v>
      </c>
      <c r="C60" s="9" t="s">
        <v>27</v>
      </c>
      <c r="D60" s="9">
        <v>10</v>
      </c>
      <c r="E60" s="9">
        <v>320016931</v>
      </c>
      <c r="F60" s="9">
        <v>0</v>
      </c>
      <c r="G60" s="9">
        <f>Table5[[#This Row],[PeriodInterestAmount]]-F60</f>
        <v>320016931</v>
      </c>
      <c r="H60" s="9">
        <v>368510895</v>
      </c>
      <c r="I60" s="9">
        <v>0</v>
      </c>
      <c r="J60" s="9">
        <f>Table5[[#This Row],[CurrentInterest]]-Table5[[#This Row],[CurrentInterestDiscount]]</f>
        <v>368510895</v>
      </c>
    </row>
    <row r="61" spans="1:10" ht="23.1" customHeight="1">
      <c r="A61" s="9" t="s">
        <v>48</v>
      </c>
      <c r="B61" s="9" t="s">
        <v>400</v>
      </c>
      <c r="C61" s="9" t="s">
        <v>27</v>
      </c>
      <c r="D61" s="9">
        <v>10</v>
      </c>
      <c r="E61" s="9">
        <v>123766530</v>
      </c>
      <c r="F61" s="9">
        <v>0</v>
      </c>
      <c r="G61" s="9">
        <f>Table5[[#This Row],[PeriodInterestAmount]]-F61</f>
        <v>123766530</v>
      </c>
      <c r="H61" s="9">
        <v>541014886</v>
      </c>
      <c r="I61" s="9">
        <v>0</v>
      </c>
      <c r="J61" s="9">
        <f>Table5[[#This Row],[CurrentInterest]]-Table5[[#This Row],[CurrentInterestDiscount]]</f>
        <v>541014886</v>
      </c>
    </row>
    <row r="62" spans="1:10" ht="23.1" customHeight="1">
      <c r="A62" s="9" t="s">
        <v>46</v>
      </c>
      <c r="B62" s="9" t="s">
        <v>398</v>
      </c>
      <c r="C62" s="9" t="s">
        <v>27</v>
      </c>
      <c r="D62" s="9">
        <v>15</v>
      </c>
      <c r="E62" s="9">
        <v>0</v>
      </c>
      <c r="F62" s="9">
        <v>0</v>
      </c>
      <c r="G62" s="9">
        <f>Table5[[#This Row],[PeriodInterestAmount]]-F62</f>
        <v>0</v>
      </c>
      <c r="H62" s="9">
        <v>474274482</v>
      </c>
      <c r="I62" s="9">
        <v>0</v>
      </c>
      <c r="J62" s="9">
        <f>Table5[[#This Row],[CurrentInterest]]-Table5[[#This Row],[CurrentInterestDiscount]]</f>
        <v>474274482</v>
      </c>
    </row>
    <row r="63" spans="1:10" ht="23.1" customHeight="1">
      <c r="A63" s="9" t="s">
        <v>45</v>
      </c>
      <c r="B63" s="9" t="s">
        <v>398</v>
      </c>
      <c r="C63" s="9" t="s">
        <v>27</v>
      </c>
      <c r="D63" s="9">
        <v>15</v>
      </c>
      <c r="E63" s="9">
        <v>204903892</v>
      </c>
      <c r="F63" s="9">
        <v>0</v>
      </c>
      <c r="G63" s="9">
        <f>Table5[[#This Row],[PeriodInterestAmount]]-F63</f>
        <v>204903892</v>
      </c>
      <c r="H63" s="9">
        <v>554346293</v>
      </c>
      <c r="I63" s="9">
        <v>0</v>
      </c>
      <c r="J63" s="9">
        <f>Table5[[#This Row],[CurrentInterest]]-Table5[[#This Row],[CurrentInterestDiscount]]</f>
        <v>554346293</v>
      </c>
    </row>
    <row r="64" spans="1:10" ht="23.1" customHeight="1">
      <c r="A64" s="9" t="s">
        <v>44</v>
      </c>
      <c r="B64" s="9" t="s">
        <v>399</v>
      </c>
      <c r="C64" s="9" t="s">
        <v>27</v>
      </c>
      <c r="D64" s="9">
        <v>10</v>
      </c>
      <c r="E64" s="9">
        <v>30718200</v>
      </c>
      <c r="F64" s="9">
        <v>0</v>
      </c>
      <c r="G64" s="9">
        <f>Table5[[#This Row],[PeriodInterestAmount]]-F64</f>
        <v>30718200</v>
      </c>
      <c r="H64" s="9">
        <v>125160520</v>
      </c>
      <c r="I64" s="9">
        <v>0</v>
      </c>
      <c r="J64" s="9">
        <f>Table5[[#This Row],[CurrentInterest]]-Table5[[#This Row],[CurrentInterestDiscount]]</f>
        <v>125160520</v>
      </c>
    </row>
    <row r="65" spans="1:10" ht="23.1" customHeight="1">
      <c r="A65" s="9" t="s">
        <v>43</v>
      </c>
      <c r="B65" s="9" t="s">
        <v>399</v>
      </c>
      <c r="C65" s="9" t="s">
        <v>27</v>
      </c>
      <c r="D65" s="9">
        <v>10</v>
      </c>
      <c r="E65" s="9">
        <v>0</v>
      </c>
      <c r="F65" s="9">
        <v>0</v>
      </c>
      <c r="G65" s="9">
        <f>Table5[[#This Row],[PeriodInterestAmount]]-F65</f>
        <v>0</v>
      </c>
      <c r="H65" s="9">
        <v>395988264</v>
      </c>
      <c r="I65" s="9">
        <v>0</v>
      </c>
      <c r="J65" s="9">
        <f>Table5[[#This Row],[CurrentInterest]]-Table5[[#This Row],[CurrentInterestDiscount]]</f>
        <v>395988264</v>
      </c>
    </row>
    <row r="66" spans="1:10" ht="23.1" customHeight="1">
      <c r="A66" s="9" t="s">
        <v>42</v>
      </c>
      <c r="B66" s="9" t="s">
        <v>399</v>
      </c>
      <c r="C66" s="9" t="s">
        <v>27</v>
      </c>
      <c r="D66" s="9">
        <v>10</v>
      </c>
      <c r="E66" s="9">
        <v>40240487</v>
      </c>
      <c r="F66" s="9">
        <v>0</v>
      </c>
      <c r="G66" s="9">
        <f>Table5[[#This Row],[PeriodInterestAmount]]-F66</f>
        <v>40240487</v>
      </c>
      <c r="H66" s="9">
        <v>169339687</v>
      </c>
      <c r="I66" s="9">
        <v>0</v>
      </c>
      <c r="J66" s="9">
        <f>Table5[[#This Row],[CurrentInterest]]-Table5[[#This Row],[CurrentInterestDiscount]]</f>
        <v>169339687</v>
      </c>
    </row>
    <row r="67" spans="1:10" ht="23.1" customHeight="1">
      <c r="A67" s="9" t="s">
        <v>41</v>
      </c>
      <c r="B67" s="9" t="s">
        <v>399</v>
      </c>
      <c r="C67" s="9" t="s">
        <v>27</v>
      </c>
      <c r="D67" s="9">
        <v>10</v>
      </c>
      <c r="E67" s="9">
        <v>375952089</v>
      </c>
      <c r="F67" s="9">
        <v>0</v>
      </c>
      <c r="G67" s="9">
        <f>Table5[[#This Row],[PeriodInterestAmount]]-F67</f>
        <v>375952089</v>
      </c>
      <c r="H67" s="9">
        <v>419468173</v>
      </c>
      <c r="I67" s="9">
        <v>0</v>
      </c>
      <c r="J67" s="9">
        <f>Table5[[#This Row],[CurrentInterest]]-Table5[[#This Row],[CurrentInterestDiscount]]</f>
        <v>419468173</v>
      </c>
    </row>
    <row r="68" spans="1:10" ht="23.1" customHeight="1">
      <c r="A68" s="9" t="s">
        <v>40</v>
      </c>
      <c r="B68" s="9" t="s">
        <v>400</v>
      </c>
      <c r="C68" s="9" t="s">
        <v>27</v>
      </c>
      <c r="D68" s="9">
        <v>10</v>
      </c>
      <c r="E68" s="9">
        <v>0</v>
      </c>
      <c r="F68" s="9">
        <v>0</v>
      </c>
      <c r="G68" s="9">
        <f>Table5[[#This Row],[PeriodInterestAmount]]-F68</f>
        <v>0</v>
      </c>
      <c r="H68" s="9">
        <v>184342079</v>
      </c>
      <c r="I68" s="9">
        <v>0</v>
      </c>
      <c r="J68" s="9">
        <f>Table5[[#This Row],[CurrentInterest]]-Table5[[#This Row],[CurrentInterestDiscount]]</f>
        <v>184342079</v>
      </c>
    </row>
    <row r="69" spans="1:10" ht="23.1" customHeight="1">
      <c r="A69" s="9" t="s">
        <v>39</v>
      </c>
      <c r="B69" s="9" t="s">
        <v>400</v>
      </c>
      <c r="C69" s="9" t="s">
        <v>27</v>
      </c>
      <c r="D69" s="9">
        <v>10</v>
      </c>
      <c r="E69" s="9">
        <v>70970349</v>
      </c>
      <c r="F69" s="9">
        <v>0</v>
      </c>
      <c r="G69" s="9">
        <f>Table5[[#This Row],[PeriodInterestAmount]]-F69</f>
        <v>70970349</v>
      </c>
      <c r="H69" s="9">
        <v>141940698</v>
      </c>
      <c r="I69" s="9">
        <v>0</v>
      </c>
      <c r="J69" s="9">
        <f>Table5[[#This Row],[CurrentInterest]]-Table5[[#This Row],[CurrentInterestDiscount]]</f>
        <v>141940698</v>
      </c>
    </row>
    <row r="70" spans="1:10" ht="23.1" customHeight="1">
      <c r="A70" s="9" t="s">
        <v>38</v>
      </c>
      <c r="B70" s="9" t="s">
        <v>399</v>
      </c>
      <c r="C70" s="9" t="s">
        <v>27</v>
      </c>
      <c r="D70" s="9">
        <v>10</v>
      </c>
      <c r="E70" s="9">
        <v>48917235</v>
      </c>
      <c r="F70" s="9">
        <v>0</v>
      </c>
      <c r="G70" s="9">
        <f>Table5[[#This Row],[PeriodInterestAmount]]-F70</f>
        <v>48917235</v>
      </c>
      <c r="H70" s="9">
        <v>48917235</v>
      </c>
      <c r="I70" s="9">
        <v>0</v>
      </c>
      <c r="J70" s="9">
        <f>Table5[[#This Row],[CurrentInterest]]-Table5[[#This Row],[CurrentInterestDiscount]]</f>
        <v>48917235</v>
      </c>
    </row>
    <row r="71" spans="1:10" ht="23.1" customHeight="1">
      <c r="A71" s="9" t="s">
        <v>36</v>
      </c>
      <c r="B71" s="9" t="s">
        <v>5</v>
      </c>
      <c r="C71" s="9" t="s">
        <v>27</v>
      </c>
      <c r="D71" s="9">
        <v>17</v>
      </c>
      <c r="E71" s="9">
        <v>315684734</v>
      </c>
      <c r="F71" s="9">
        <v>0</v>
      </c>
      <c r="G71" s="9">
        <f>Table5[[#This Row],[PeriodInterestAmount]]-F71</f>
        <v>315684734</v>
      </c>
      <c r="H71" s="9">
        <v>2217137849</v>
      </c>
      <c r="I71" s="9">
        <v>0</v>
      </c>
      <c r="J71" s="9">
        <f>Table5[[#This Row],[CurrentInterest]]-Table5[[#This Row],[CurrentInterestDiscount]]</f>
        <v>2217137849</v>
      </c>
    </row>
    <row r="72" spans="1:10" ht="23.1" customHeight="1">
      <c r="A72" s="9" t="s">
        <v>35</v>
      </c>
      <c r="B72" s="9" t="s">
        <v>398</v>
      </c>
      <c r="C72" s="9" t="s">
        <v>27</v>
      </c>
      <c r="D72" s="9">
        <v>15</v>
      </c>
      <c r="E72" s="9">
        <v>1072659491</v>
      </c>
      <c r="F72" s="9">
        <v>0</v>
      </c>
      <c r="G72" s="9">
        <f>Table5[[#This Row],[PeriodInterestAmount]]-F72</f>
        <v>1072659491</v>
      </c>
      <c r="H72" s="9">
        <v>2261681907</v>
      </c>
      <c r="I72" s="9">
        <v>0</v>
      </c>
      <c r="J72" s="9">
        <f>Table5[[#This Row],[CurrentInterest]]-Table5[[#This Row],[CurrentInterestDiscount]]</f>
        <v>2261681907</v>
      </c>
    </row>
    <row r="73" spans="1:10" ht="23.1" customHeight="1">
      <c r="A73" s="9" t="s">
        <v>34</v>
      </c>
      <c r="B73" s="9" t="s">
        <v>399</v>
      </c>
      <c r="C73" s="9" t="s">
        <v>27</v>
      </c>
      <c r="D73" s="9">
        <v>10</v>
      </c>
      <c r="E73" s="9">
        <v>93919361</v>
      </c>
      <c r="F73" s="9">
        <v>0</v>
      </c>
      <c r="G73" s="9">
        <f>Table5[[#This Row],[PeriodInterestAmount]]-F73</f>
        <v>93919361</v>
      </c>
      <c r="H73" s="9">
        <v>107486614</v>
      </c>
      <c r="I73" s="9">
        <v>0</v>
      </c>
      <c r="J73" s="9">
        <f>Table5[[#This Row],[CurrentInterest]]-Table5[[#This Row],[CurrentInterestDiscount]]</f>
        <v>107486614</v>
      </c>
    </row>
    <row r="74" spans="1:10" ht="23.1" customHeight="1">
      <c r="A74" s="9" t="s">
        <v>33</v>
      </c>
      <c r="B74" s="9" t="s">
        <v>402</v>
      </c>
      <c r="C74" s="9" t="s">
        <v>27</v>
      </c>
      <c r="D74" s="9">
        <v>10</v>
      </c>
      <c r="E74" s="9">
        <v>0</v>
      </c>
      <c r="F74" s="9">
        <v>0</v>
      </c>
      <c r="G74" s="9">
        <f>Table5[[#This Row],[PeriodInterestAmount]]-F74</f>
        <v>0</v>
      </c>
      <c r="H74" s="9">
        <v>343753369</v>
      </c>
      <c r="I74" s="9">
        <v>0</v>
      </c>
      <c r="J74" s="9">
        <f>Table5[[#This Row],[CurrentInterest]]-Table5[[#This Row],[CurrentInterestDiscount]]</f>
        <v>343753369</v>
      </c>
    </row>
    <row r="75" spans="1:10" ht="23.1" customHeight="1">
      <c r="A75" s="9" t="s">
        <v>32</v>
      </c>
      <c r="B75" s="9" t="s">
        <v>402</v>
      </c>
      <c r="C75" s="9" t="s">
        <v>27</v>
      </c>
      <c r="D75" s="9">
        <v>10</v>
      </c>
      <c r="E75" s="9">
        <v>0</v>
      </c>
      <c r="F75" s="9">
        <v>0</v>
      </c>
      <c r="G75" s="9">
        <f>Table5[[#This Row],[PeriodInterestAmount]]-F75</f>
        <v>0</v>
      </c>
      <c r="H75" s="9">
        <v>24371274</v>
      </c>
      <c r="I75" s="9">
        <v>0</v>
      </c>
      <c r="J75" s="9">
        <f>Table5[[#This Row],[CurrentInterest]]-Table5[[#This Row],[CurrentInterestDiscount]]</f>
        <v>24371274</v>
      </c>
    </row>
    <row r="76" spans="1:10" ht="23.1" customHeight="1">
      <c r="A76" s="9" t="s">
        <v>31</v>
      </c>
      <c r="B76" s="9" t="s">
        <v>399</v>
      </c>
      <c r="C76" s="9" t="s">
        <v>27</v>
      </c>
      <c r="D76" s="9">
        <v>10</v>
      </c>
      <c r="E76" s="9">
        <v>167735014</v>
      </c>
      <c r="F76" s="9">
        <v>0</v>
      </c>
      <c r="G76" s="9">
        <f>Table5[[#This Row],[PeriodInterestAmount]]-F76</f>
        <v>167735014</v>
      </c>
      <c r="H76" s="9">
        <v>172289796</v>
      </c>
      <c r="I76" s="9">
        <v>0</v>
      </c>
      <c r="J76" s="9">
        <f>Table5[[#This Row],[CurrentInterest]]-Table5[[#This Row],[CurrentInterestDiscount]]</f>
        <v>172289796</v>
      </c>
    </row>
    <row r="77" spans="1:10" ht="23.1" customHeight="1">
      <c r="A77" s="9" t="s">
        <v>30</v>
      </c>
      <c r="B77" s="9" t="s">
        <v>400</v>
      </c>
      <c r="C77" s="9" t="s">
        <v>27</v>
      </c>
      <c r="D77" s="9">
        <v>10</v>
      </c>
      <c r="E77" s="9">
        <v>58723615</v>
      </c>
      <c r="F77" s="9">
        <v>0</v>
      </c>
      <c r="G77" s="9">
        <f>Table5[[#This Row],[PeriodInterestAmount]]-F77</f>
        <v>58723615</v>
      </c>
      <c r="H77" s="9">
        <v>265204743</v>
      </c>
      <c r="I77" s="9">
        <v>0</v>
      </c>
      <c r="J77" s="9">
        <f>Table5[[#This Row],[CurrentInterest]]-Table5[[#This Row],[CurrentInterestDiscount]]</f>
        <v>265204743</v>
      </c>
    </row>
    <row r="78" spans="1:10" ht="23.1" customHeight="1">
      <c r="A78" s="9" t="s">
        <v>29</v>
      </c>
      <c r="B78" s="9" t="s">
        <v>400</v>
      </c>
      <c r="C78" s="9" t="s">
        <v>27</v>
      </c>
      <c r="D78" s="9">
        <v>10</v>
      </c>
      <c r="E78" s="9">
        <v>26837086</v>
      </c>
      <c r="F78" s="9">
        <v>0</v>
      </c>
      <c r="G78" s="9">
        <f>Table5[[#This Row],[PeriodInterestAmount]]-F78</f>
        <v>26837086</v>
      </c>
      <c r="H78" s="9">
        <v>53674172</v>
      </c>
      <c r="I78" s="9">
        <v>0</v>
      </c>
      <c r="J78" s="9">
        <f>Table5[[#This Row],[CurrentInterest]]-Table5[[#This Row],[CurrentInterestDiscount]]</f>
        <v>53674172</v>
      </c>
    </row>
    <row r="79" spans="1:10" ht="23.1" customHeight="1">
      <c r="A79" s="9" t="s">
        <v>28</v>
      </c>
      <c r="B79" s="9" t="s">
        <v>400</v>
      </c>
      <c r="C79" s="9" t="s">
        <v>27</v>
      </c>
      <c r="D79" s="9">
        <v>10</v>
      </c>
      <c r="E79" s="9">
        <v>107937015</v>
      </c>
      <c r="F79" s="9">
        <v>0</v>
      </c>
      <c r="G79" s="9">
        <f>Table5[[#This Row],[PeriodInterestAmount]]-F79</f>
        <v>107937015</v>
      </c>
      <c r="H79" s="9">
        <v>162056919</v>
      </c>
      <c r="I79" s="9">
        <v>0</v>
      </c>
      <c r="J79" s="9">
        <f>Table5[[#This Row],[CurrentInterest]]-Table5[[#This Row],[CurrentInterestDiscount]]</f>
        <v>162056919</v>
      </c>
    </row>
    <row r="80" spans="1:10" ht="23.1" customHeight="1">
      <c r="A80" s="9" t="s">
        <v>25</v>
      </c>
      <c r="B80" s="9" t="s">
        <v>403</v>
      </c>
      <c r="C80" s="9" t="s">
        <v>27</v>
      </c>
      <c r="D80" s="9">
        <v>10</v>
      </c>
      <c r="E80" s="9">
        <v>30025595</v>
      </c>
      <c r="F80" s="9">
        <v>0</v>
      </c>
      <c r="G80" s="9">
        <f>Table5[[#This Row],[PeriodInterestAmount]]-F80</f>
        <v>30025595</v>
      </c>
      <c r="H80" s="9">
        <v>30025595</v>
      </c>
      <c r="I80" s="9">
        <v>0</v>
      </c>
      <c r="J80" s="9">
        <f>Table5[[#This Row],[CurrentInterest]]-Table5[[#This Row],[CurrentInterestDiscount]]</f>
        <v>30025595</v>
      </c>
    </row>
    <row r="81" spans="1:10" ht="23.1" customHeight="1" thickBot="1">
      <c r="A81" s="9" t="s">
        <v>101</v>
      </c>
      <c r="B81" s="9"/>
      <c r="C81" s="9"/>
      <c r="D81" s="9"/>
      <c r="E81" s="12"/>
      <c r="F81" s="12">
        <f>SUM(F8:F80)</f>
        <v>0</v>
      </c>
      <c r="G81" s="12">
        <f>SUM(G8:G80)</f>
        <v>26410846184</v>
      </c>
      <c r="H81" s="12">
        <f>SUM(H8:H80)</f>
        <v>68933661783</v>
      </c>
      <c r="I81" s="12">
        <f>SUM(I8:I80)</f>
        <v>0</v>
      </c>
      <c r="J81" s="12">
        <f>SUM(J8:J80)</f>
        <v>68933661783</v>
      </c>
    </row>
    <row r="82" spans="1:10" ht="23.25" thickTop="1"/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69" orientation="landscape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rightToLeft="1" view="pageBreakPreview" topLeftCell="A82" zoomScale="60" zoomScaleNormal="100" workbookViewId="0">
      <selection activeCell="F8" sqref="F8:F63"/>
    </sheetView>
  </sheetViews>
  <sheetFormatPr defaultRowHeight="22.5"/>
  <cols>
    <col min="1" max="1" width="33.28515625" style="38" bestFit="1" customWidth="1"/>
    <col min="2" max="2" width="12.42578125" style="38" bestFit="1" customWidth="1"/>
    <col min="3" max="3" width="17.5703125" style="38" bestFit="1" customWidth="1"/>
    <col min="4" max="4" width="16.85546875" style="38" customWidth="1"/>
    <col min="5" max="5" width="18.85546875" style="38" hidden="1" customWidth="1"/>
    <col min="6" max="6" width="24.140625" style="38" bestFit="1" customWidth="1"/>
    <col min="7" max="7" width="12.28515625" style="38" bestFit="1" customWidth="1"/>
    <col min="8" max="8" width="18" style="38" bestFit="1" customWidth="1"/>
    <col min="9" max="9" width="17.5703125" style="38" customWidth="1"/>
    <col min="10" max="10" width="18.85546875" style="38" hidden="1" customWidth="1"/>
    <col min="11" max="11" width="24.140625" style="38" bestFit="1" customWidth="1"/>
    <col min="12" max="16384" width="9.140625" style="42"/>
  </cols>
  <sheetData>
    <row r="1" spans="1:11" ht="25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5.5">
      <c r="A2" s="119" t="s">
        <v>260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5.5">
      <c r="A3" s="119" t="s">
        <v>261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25.5">
      <c r="A4" s="122" t="s">
        <v>318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6.5" customHeight="1" thickBot="1">
      <c r="B5" s="121" t="s">
        <v>406</v>
      </c>
      <c r="C5" s="121"/>
      <c r="D5" s="121"/>
      <c r="E5" s="121"/>
      <c r="F5" s="121"/>
      <c r="G5" s="121" t="s">
        <v>263</v>
      </c>
      <c r="H5" s="121"/>
      <c r="I5" s="121"/>
      <c r="J5" s="121"/>
      <c r="K5" s="121"/>
    </row>
    <row r="6" spans="1:11" ht="20.25" customHeight="1" thickBot="1">
      <c r="A6" s="38" t="s">
        <v>319</v>
      </c>
      <c r="B6" s="39" t="s">
        <v>107</v>
      </c>
      <c r="C6" s="39" t="s">
        <v>320</v>
      </c>
      <c r="D6" s="39" t="s">
        <v>321</v>
      </c>
      <c r="E6" s="39" t="s">
        <v>321</v>
      </c>
      <c r="F6" s="39" t="s">
        <v>322</v>
      </c>
      <c r="G6" s="39" t="s">
        <v>107</v>
      </c>
      <c r="H6" s="39" t="s">
        <v>109</v>
      </c>
      <c r="I6" s="39" t="s">
        <v>321</v>
      </c>
      <c r="J6" s="39" t="s">
        <v>321</v>
      </c>
      <c r="K6" s="39" t="s">
        <v>322</v>
      </c>
    </row>
    <row r="7" spans="1:11" ht="0.75" customHeight="1">
      <c r="A7" s="33" t="s">
        <v>116</v>
      </c>
      <c r="B7" s="33" t="s">
        <v>323</v>
      </c>
      <c r="C7" s="33" t="s">
        <v>324</v>
      </c>
      <c r="D7" s="40" t="s">
        <v>404</v>
      </c>
      <c r="E7" s="33" t="s">
        <v>325</v>
      </c>
      <c r="F7" s="33" t="s">
        <v>269</v>
      </c>
      <c r="G7" s="33" t="s">
        <v>326</v>
      </c>
      <c r="H7" s="33" t="s">
        <v>327</v>
      </c>
      <c r="I7" s="33" t="s">
        <v>405</v>
      </c>
      <c r="J7" s="33" t="s">
        <v>328</v>
      </c>
      <c r="K7" s="33" t="s">
        <v>329</v>
      </c>
    </row>
    <row r="8" spans="1:11" ht="23.1" customHeight="1">
      <c r="A8" s="33" t="s">
        <v>134</v>
      </c>
      <c r="B8" s="33">
        <v>166245</v>
      </c>
      <c r="C8" s="33">
        <v>17503725363</v>
      </c>
      <c r="D8" s="33">
        <f>Table6[[#This Row],[PeriodTotalCost]]*(-1)</f>
        <v>25716530317</v>
      </c>
      <c r="E8" s="33">
        <v>-25716530317</v>
      </c>
      <c r="F8" s="33">
        <f>Table6[[#This Row],[PeriodTotalAmount]]-Table6[[#This Row],[Column1]]</f>
        <v>-8212804954</v>
      </c>
      <c r="G8" s="33">
        <v>1203637</v>
      </c>
      <c r="H8" s="33">
        <v>168659752191</v>
      </c>
      <c r="I8" s="33">
        <f>Table6[[#This Row],[AllTotalCost]]*(-1)</f>
        <v>189253664860</v>
      </c>
      <c r="J8" s="33">
        <v>-189253664860</v>
      </c>
      <c r="K8" s="33">
        <f>Table6[[#This Row],[AllTotalAmount]]-Table6[[#This Row],[Column2]]</f>
        <v>-20593912669</v>
      </c>
    </row>
    <row r="9" spans="1:11" ht="23.1" customHeight="1">
      <c r="A9" s="33" t="s">
        <v>140</v>
      </c>
      <c r="B9" s="33">
        <v>315585</v>
      </c>
      <c r="C9" s="33">
        <v>27992544387</v>
      </c>
      <c r="D9" s="33">
        <f>Table6[[#This Row],[PeriodTotalCost]]*(-1)</f>
        <v>32714592284</v>
      </c>
      <c r="E9" s="33">
        <v>-32714592284</v>
      </c>
      <c r="F9" s="33">
        <f>Table6[[#This Row],[PeriodTotalAmount]]-Table6[[#This Row],[Column1]]</f>
        <v>-4722047897</v>
      </c>
      <c r="G9" s="33">
        <v>1242209</v>
      </c>
      <c r="H9" s="33">
        <v>130295802811</v>
      </c>
      <c r="I9" s="33">
        <f>Table6[[#This Row],[AllTotalCost]]*(-1)</f>
        <v>128931357454</v>
      </c>
      <c r="J9" s="33">
        <v>-128931357454</v>
      </c>
      <c r="K9" s="33">
        <f>Table6[[#This Row],[AllTotalAmount]]-Table6[[#This Row],[Column2]]</f>
        <v>1364445357</v>
      </c>
    </row>
    <row r="10" spans="1:11" ht="23.1" customHeight="1">
      <c r="A10" s="33" t="s">
        <v>181</v>
      </c>
      <c r="B10" s="33">
        <v>1648155</v>
      </c>
      <c r="C10" s="33">
        <v>143270616920</v>
      </c>
      <c r="D10" s="33">
        <f>Table6[[#This Row],[PeriodTotalCost]]*(-1)</f>
        <v>148743624661</v>
      </c>
      <c r="E10" s="33">
        <v>-148743624661</v>
      </c>
      <c r="F10" s="33">
        <f>Table6[[#This Row],[PeriodTotalAmount]]-Table6[[#This Row],[Column1]]</f>
        <v>-5473007741</v>
      </c>
      <c r="G10" s="33">
        <v>4107658</v>
      </c>
      <c r="H10" s="33">
        <v>403485266010</v>
      </c>
      <c r="I10" s="33">
        <f>Table6[[#This Row],[AllTotalCost]]*(-1)</f>
        <v>411503181093</v>
      </c>
      <c r="J10" s="33">
        <v>-411503181093</v>
      </c>
      <c r="K10" s="33">
        <f>Table6[[#This Row],[AllTotalAmount]]-Table6[[#This Row],[Column2]]</f>
        <v>-8017915083</v>
      </c>
    </row>
    <row r="11" spans="1:11" ht="23.1" customHeight="1">
      <c r="A11" s="33" t="s">
        <v>169</v>
      </c>
      <c r="B11" s="33">
        <v>15223026</v>
      </c>
      <c r="C11" s="33">
        <v>73667763751</v>
      </c>
      <c r="D11" s="33">
        <f>Table6[[#This Row],[PeriodTotalCost]]*(-1)</f>
        <v>84492179993</v>
      </c>
      <c r="E11" s="33">
        <v>-84492179993</v>
      </c>
      <c r="F11" s="33">
        <f>Table6[[#This Row],[PeriodTotalAmount]]-Table6[[#This Row],[Column1]]</f>
        <v>-10824416242</v>
      </c>
      <c r="G11" s="33">
        <v>61081010</v>
      </c>
      <c r="H11" s="33">
        <v>355021448701</v>
      </c>
      <c r="I11" s="33">
        <f>Table6[[#This Row],[AllTotalCost]]*(-1)</f>
        <v>343487420688</v>
      </c>
      <c r="J11" s="33">
        <v>-343487420688</v>
      </c>
      <c r="K11" s="33">
        <f>Table6[[#This Row],[AllTotalAmount]]-Table6[[#This Row],[Column2]]</f>
        <v>11534028013</v>
      </c>
    </row>
    <row r="12" spans="1:11" ht="23.1" customHeight="1">
      <c r="A12" s="33" t="s">
        <v>147</v>
      </c>
      <c r="B12" s="33">
        <v>1986839</v>
      </c>
      <c r="C12" s="33">
        <v>166656731553</v>
      </c>
      <c r="D12" s="33">
        <f>Table6[[#This Row],[PeriodTotalCost]]*(-1)</f>
        <v>160887441935</v>
      </c>
      <c r="E12" s="33">
        <v>-160887441935</v>
      </c>
      <c r="F12" s="33">
        <f>Table6[[#This Row],[PeriodTotalAmount]]-Table6[[#This Row],[Column1]]</f>
        <v>5769289618</v>
      </c>
      <c r="G12" s="33">
        <v>4227361</v>
      </c>
      <c r="H12" s="33">
        <v>316265796985</v>
      </c>
      <c r="I12" s="33">
        <f>Table6[[#This Row],[AllTotalCost]]*(-1)</f>
        <v>305717722656</v>
      </c>
      <c r="J12" s="33">
        <v>-305717722656</v>
      </c>
      <c r="K12" s="33">
        <f>Table6[[#This Row],[AllTotalAmount]]-Table6[[#This Row],[Column2]]</f>
        <v>10548074329</v>
      </c>
    </row>
    <row r="13" spans="1:11" ht="23.1" customHeight="1">
      <c r="A13" s="33" t="s">
        <v>183</v>
      </c>
      <c r="B13" s="33">
        <v>701854</v>
      </c>
      <c r="C13" s="33">
        <v>47566670999</v>
      </c>
      <c r="D13" s="33">
        <f>Table6[[#This Row],[PeriodTotalCost]]*(-1)</f>
        <v>50102290180</v>
      </c>
      <c r="E13" s="33">
        <v>-50102290180</v>
      </c>
      <c r="F13" s="33">
        <f>Table6[[#This Row],[PeriodTotalAmount]]-Table6[[#This Row],[Column1]]</f>
        <v>-2535619181</v>
      </c>
      <c r="G13" s="33">
        <v>8938369</v>
      </c>
      <c r="H13" s="33">
        <f>641682252157+383933357</f>
        <v>642066185514</v>
      </c>
      <c r="I13" s="33">
        <f>Table6[[#This Row],[AllTotalCost]]*(-1)</f>
        <v>641385584007</v>
      </c>
      <c r="J13" s="33">
        <v>-641385584007</v>
      </c>
      <c r="K13" s="33">
        <f>Table6[[#This Row],[AllTotalAmount]]-Table6[[#This Row],[Column2]]</f>
        <v>680601507</v>
      </c>
    </row>
    <row r="14" spans="1:11" ht="23.1" customHeight="1">
      <c r="A14" s="33" t="s">
        <v>201</v>
      </c>
      <c r="B14" s="33">
        <v>8216804</v>
      </c>
      <c r="C14" s="33">
        <v>486132142731</v>
      </c>
      <c r="D14" s="33">
        <f>Table6[[#This Row],[PeriodTotalCost]]*(-1)</f>
        <v>548062102916</v>
      </c>
      <c r="E14" s="33">
        <v>-548062102916</v>
      </c>
      <c r="F14" s="33">
        <f>Table6[[#This Row],[PeriodTotalAmount]]-Table6[[#This Row],[Column1]]</f>
        <v>-61929960185</v>
      </c>
      <c r="G14" s="33">
        <v>13053978</v>
      </c>
      <c r="H14" s="33">
        <v>786066822595</v>
      </c>
      <c r="I14" s="33">
        <f>Table6[[#This Row],[AllTotalCost]]*(-1)</f>
        <v>844258630632</v>
      </c>
      <c r="J14" s="33">
        <v>-844258630632</v>
      </c>
      <c r="K14" s="33">
        <f>Table6[[#This Row],[AllTotalAmount]]-Table6[[#This Row],[Column2]]</f>
        <v>-58191808037</v>
      </c>
    </row>
    <row r="15" spans="1:11" ht="23.1" customHeight="1">
      <c r="A15" s="33" t="s">
        <v>204</v>
      </c>
      <c r="B15" s="33">
        <v>2905867</v>
      </c>
      <c r="C15" s="33">
        <v>12667007584</v>
      </c>
      <c r="D15" s="33">
        <f>Table6[[#This Row],[PeriodTotalCost]]*(-1)</f>
        <v>14687225471</v>
      </c>
      <c r="E15" s="33">
        <v>-14687225471</v>
      </c>
      <c r="F15" s="33">
        <f>Table6[[#This Row],[PeriodTotalAmount]]-Table6[[#This Row],[Column1]]</f>
        <v>-2020217887</v>
      </c>
      <c r="G15" s="33">
        <v>19859021</v>
      </c>
      <c r="H15" s="33">
        <v>101216323648</v>
      </c>
      <c r="I15" s="33">
        <f>Table6[[#This Row],[AllTotalCost]]*(-1)</f>
        <v>102045548320</v>
      </c>
      <c r="J15" s="33">
        <v>-102045548320</v>
      </c>
      <c r="K15" s="33">
        <f>Table6[[#This Row],[AllTotalAmount]]-Table6[[#This Row],[Column2]]</f>
        <v>-829224672</v>
      </c>
    </row>
    <row r="16" spans="1:11" ht="23.1" customHeight="1">
      <c r="A16" s="33" t="s">
        <v>199</v>
      </c>
      <c r="B16" s="33">
        <v>371247</v>
      </c>
      <c r="C16" s="33">
        <v>105982826196</v>
      </c>
      <c r="D16" s="33">
        <f>Table6[[#This Row],[PeriodTotalCost]]*(-1)</f>
        <v>116233515174</v>
      </c>
      <c r="E16" s="33">
        <v>-116233515174</v>
      </c>
      <c r="F16" s="33">
        <f>Table6[[#This Row],[PeriodTotalAmount]]-Table6[[#This Row],[Column1]]</f>
        <v>-10250688978</v>
      </c>
      <c r="G16" s="33">
        <v>4606702</v>
      </c>
      <c r="H16" s="33">
        <f>1221900473932+622138647</f>
        <v>1222522612579</v>
      </c>
      <c r="I16" s="33">
        <f>Table6[[#This Row],[AllTotalCost]]*(-1)</f>
        <v>1242101366074</v>
      </c>
      <c r="J16" s="33">
        <v>-1242101366074</v>
      </c>
      <c r="K16" s="33">
        <f>Table6[[#This Row],[AllTotalAmount]]-Table6[[#This Row],[Column2]]</f>
        <v>-19578753495</v>
      </c>
    </row>
    <row r="17" spans="1:11" ht="23.1" customHeight="1">
      <c r="A17" s="33" t="s">
        <v>200</v>
      </c>
      <c r="B17" s="33">
        <v>781774</v>
      </c>
      <c r="C17" s="33">
        <v>21591084149</v>
      </c>
      <c r="D17" s="33">
        <f>Table6[[#This Row],[PeriodTotalCost]]*(-1)</f>
        <v>25681250745</v>
      </c>
      <c r="E17" s="33">
        <v>-25681250745</v>
      </c>
      <c r="F17" s="33">
        <f>Table6[[#This Row],[PeriodTotalAmount]]-Table6[[#This Row],[Column1]]</f>
        <v>-4090166596</v>
      </c>
      <c r="G17" s="33">
        <v>2295227</v>
      </c>
      <c r="H17" s="33">
        <v>92901484503</v>
      </c>
      <c r="I17" s="33">
        <f>Table6[[#This Row],[AllTotalCost]]*(-1)</f>
        <v>92506004507</v>
      </c>
      <c r="J17" s="33">
        <v>-92506004507</v>
      </c>
      <c r="K17" s="33">
        <f>Table6[[#This Row],[AllTotalAmount]]-Table6[[#This Row],[Column2]]</f>
        <v>395479996</v>
      </c>
    </row>
    <row r="18" spans="1:11" ht="23.1" customHeight="1">
      <c r="A18" s="33" t="s">
        <v>176</v>
      </c>
      <c r="B18" s="33">
        <v>1768730</v>
      </c>
      <c r="C18" s="33">
        <v>52837026714</v>
      </c>
      <c r="D18" s="33">
        <f>Table6[[#This Row],[PeriodTotalCost]]*(-1)</f>
        <v>50008739119</v>
      </c>
      <c r="E18" s="33">
        <v>-50008739119</v>
      </c>
      <c r="F18" s="33">
        <f>Table6[[#This Row],[PeriodTotalAmount]]-Table6[[#This Row],[Column1]]</f>
        <v>2828287595</v>
      </c>
      <c r="G18" s="33">
        <v>5750693</v>
      </c>
      <c r="H18" s="33">
        <v>141329776768</v>
      </c>
      <c r="I18" s="33">
        <f>Table6[[#This Row],[AllTotalCost]]*(-1)</f>
        <v>131836202779</v>
      </c>
      <c r="J18" s="33">
        <v>-131836202779</v>
      </c>
      <c r="K18" s="33">
        <f>Table6[[#This Row],[AllTotalAmount]]-Table6[[#This Row],[Column2]]</f>
        <v>9493573989</v>
      </c>
    </row>
    <row r="19" spans="1:11" ht="23.1" customHeight="1">
      <c r="A19" s="33" t="s">
        <v>161</v>
      </c>
      <c r="B19" s="33">
        <v>5908839</v>
      </c>
      <c r="C19" s="33">
        <v>124571085754</v>
      </c>
      <c r="D19" s="33">
        <f>Table6[[#This Row],[PeriodTotalCost]]*(-1)</f>
        <v>113821611513</v>
      </c>
      <c r="E19" s="33">
        <v>-113821611513</v>
      </c>
      <c r="F19" s="33">
        <f>Table6[[#This Row],[PeriodTotalAmount]]-Table6[[#This Row],[Column1]]</f>
        <v>10749474241</v>
      </c>
      <c r="G19" s="33">
        <v>24488014</v>
      </c>
      <c r="H19" s="33">
        <f>521421463954+20627534</f>
        <v>521442091488</v>
      </c>
      <c r="I19" s="33">
        <f>Table6[[#This Row],[AllTotalCost]]*(-1)</f>
        <v>487277046540</v>
      </c>
      <c r="J19" s="33">
        <v>-487277046540</v>
      </c>
      <c r="K19" s="33">
        <f>Table6[[#This Row],[AllTotalAmount]]-Table6[[#This Row],[Column2]]</f>
        <v>34165044948</v>
      </c>
    </row>
    <row r="20" spans="1:11" ht="23.1" customHeight="1">
      <c r="A20" s="33" t="s">
        <v>166</v>
      </c>
      <c r="B20" s="33">
        <v>631333</v>
      </c>
      <c r="C20" s="33">
        <v>32516482797</v>
      </c>
      <c r="D20" s="33">
        <f>Table6[[#This Row],[PeriodTotalCost]]*(-1)</f>
        <v>29836383007</v>
      </c>
      <c r="E20" s="33">
        <v>-29836383007</v>
      </c>
      <c r="F20" s="33">
        <f>Table6[[#This Row],[PeriodTotalAmount]]-Table6[[#This Row],[Column1]]</f>
        <v>2680099790</v>
      </c>
      <c r="G20" s="33">
        <v>5293619</v>
      </c>
      <c r="H20" s="33">
        <v>212417369464</v>
      </c>
      <c r="I20" s="33">
        <f>Table6[[#This Row],[AllTotalCost]]*(-1)</f>
        <v>178021085696</v>
      </c>
      <c r="J20" s="33">
        <v>-178021085696</v>
      </c>
      <c r="K20" s="33">
        <f>Table6[[#This Row],[AllTotalAmount]]-Table6[[#This Row],[Column2]]</f>
        <v>34396283768</v>
      </c>
    </row>
    <row r="21" spans="1:11" ht="23.1" customHeight="1">
      <c r="A21" s="33" t="s">
        <v>177</v>
      </c>
      <c r="B21" s="33">
        <v>1163383</v>
      </c>
      <c r="C21" s="33">
        <v>52309087252</v>
      </c>
      <c r="D21" s="33">
        <f>Table6[[#This Row],[PeriodTotalCost]]*(-1)</f>
        <v>47783167433</v>
      </c>
      <c r="E21" s="33">
        <v>-47783167433</v>
      </c>
      <c r="F21" s="33">
        <f>Table6[[#This Row],[PeriodTotalAmount]]-Table6[[#This Row],[Column1]]</f>
        <v>4525919819</v>
      </c>
      <c r="G21" s="33">
        <v>2600893</v>
      </c>
      <c r="H21" s="33">
        <v>115227500887</v>
      </c>
      <c r="I21" s="33">
        <f>Table6[[#This Row],[AllTotalCost]]*(-1)</f>
        <v>107445576238</v>
      </c>
      <c r="J21" s="33">
        <v>-107445576238</v>
      </c>
      <c r="K21" s="33">
        <f>Table6[[#This Row],[AllTotalAmount]]-Table6[[#This Row],[Column2]]</f>
        <v>7781924649</v>
      </c>
    </row>
    <row r="22" spans="1:11" ht="23.1" customHeight="1">
      <c r="A22" s="33" t="s">
        <v>157</v>
      </c>
      <c r="B22" s="33">
        <v>680067</v>
      </c>
      <c r="C22" s="33">
        <v>33806205420</v>
      </c>
      <c r="D22" s="33">
        <f>Table6[[#This Row],[PeriodTotalCost]]*(-1)</f>
        <v>34405841974</v>
      </c>
      <c r="E22" s="33">
        <v>-34405841974</v>
      </c>
      <c r="F22" s="33">
        <f>Table6[[#This Row],[PeriodTotalAmount]]-Table6[[#This Row],[Column1]]</f>
        <v>-599636554</v>
      </c>
      <c r="G22" s="33">
        <v>5493493</v>
      </c>
      <c r="H22" s="33">
        <v>278070345411</v>
      </c>
      <c r="I22" s="33">
        <f>Table6[[#This Row],[AllTotalCost]]*(-1)</f>
        <v>264025107971</v>
      </c>
      <c r="J22" s="33">
        <v>-264025107971</v>
      </c>
      <c r="K22" s="33">
        <f>Table6[[#This Row],[AllTotalAmount]]-Table6[[#This Row],[Column2]]</f>
        <v>14045237440</v>
      </c>
    </row>
    <row r="23" spans="1:11" ht="23.1" customHeight="1">
      <c r="A23" s="33" t="s">
        <v>158</v>
      </c>
      <c r="B23" s="33">
        <v>4170631</v>
      </c>
      <c r="C23" s="33">
        <v>107146498002</v>
      </c>
      <c r="D23" s="33">
        <f>Table6[[#This Row],[PeriodTotalCost]]*(-1)</f>
        <v>104008880339</v>
      </c>
      <c r="E23" s="33">
        <v>-104008880339</v>
      </c>
      <c r="F23" s="33">
        <f>Table6[[#This Row],[PeriodTotalAmount]]-Table6[[#This Row],[Column1]]</f>
        <v>3137617663</v>
      </c>
      <c r="G23" s="33">
        <v>8972934</v>
      </c>
      <c r="H23" s="33">
        <v>232508680245</v>
      </c>
      <c r="I23" s="33">
        <f>Table6[[#This Row],[AllTotalCost]]*(-1)</f>
        <v>224250274477</v>
      </c>
      <c r="J23" s="33">
        <v>-224250274477</v>
      </c>
      <c r="K23" s="33">
        <f>Table6[[#This Row],[AllTotalAmount]]-Table6[[#This Row],[Column2]]</f>
        <v>8258405768</v>
      </c>
    </row>
    <row r="24" spans="1:11" ht="23.1" customHeight="1">
      <c r="A24" s="33" t="s">
        <v>164</v>
      </c>
      <c r="B24" s="33">
        <v>1464944</v>
      </c>
      <c r="C24" s="33">
        <v>58340538445</v>
      </c>
      <c r="D24" s="33">
        <f>Table6[[#This Row],[PeriodTotalCost]]*(-1)</f>
        <v>66900084994</v>
      </c>
      <c r="E24" s="33">
        <v>-66900084994</v>
      </c>
      <c r="F24" s="33">
        <f>Table6[[#This Row],[PeriodTotalAmount]]-Table6[[#This Row],[Column1]]</f>
        <v>-8559546549</v>
      </c>
      <c r="G24" s="33">
        <v>5190010</v>
      </c>
      <c r="H24" s="33">
        <v>241155589984</v>
      </c>
      <c r="I24" s="33">
        <f>Table6[[#This Row],[AllTotalCost]]*(-1)</f>
        <v>247435225451</v>
      </c>
      <c r="J24" s="33">
        <v>-247435225451</v>
      </c>
      <c r="K24" s="33">
        <f>Table6[[#This Row],[AllTotalAmount]]-Table6[[#This Row],[Column2]]</f>
        <v>-6279635467</v>
      </c>
    </row>
    <row r="25" spans="1:11" ht="23.1" customHeight="1">
      <c r="A25" s="33" t="s">
        <v>186</v>
      </c>
      <c r="B25" s="33">
        <v>523514</v>
      </c>
      <c r="C25" s="33">
        <v>19784827931</v>
      </c>
      <c r="D25" s="33">
        <f>Table6[[#This Row],[PeriodTotalCost]]*(-1)</f>
        <v>23422225061</v>
      </c>
      <c r="E25" s="33">
        <v>-23422225061</v>
      </c>
      <c r="F25" s="33">
        <f>Table6[[#This Row],[PeriodTotalAmount]]-Table6[[#This Row],[Column1]]</f>
        <v>-3637397130</v>
      </c>
      <c r="G25" s="33">
        <v>2522556</v>
      </c>
      <c r="H25" s="33">
        <v>180039133716</v>
      </c>
      <c r="I25" s="33">
        <f>Table6[[#This Row],[AllTotalCost]]*(-1)</f>
        <v>179477505266</v>
      </c>
      <c r="J25" s="33">
        <v>-179477505266</v>
      </c>
      <c r="K25" s="33">
        <f>Table6[[#This Row],[AllTotalAmount]]-Table6[[#This Row],[Column2]]</f>
        <v>561628450</v>
      </c>
    </row>
    <row r="26" spans="1:11" ht="23.1" customHeight="1">
      <c r="A26" s="33" t="s">
        <v>132</v>
      </c>
      <c r="B26" s="33">
        <v>756050</v>
      </c>
      <c r="C26" s="33">
        <v>29656200483</v>
      </c>
      <c r="D26" s="33">
        <f>Table6[[#This Row],[PeriodTotalCost]]*(-1)</f>
        <v>33198311905</v>
      </c>
      <c r="E26" s="33">
        <v>-33198311905</v>
      </c>
      <c r="F26" s="33">
        <f>Table6[[#This Row],[PeriodTotalAmount]]-Table6[[#This Row],[Column1]]</f>
        <v>-3542111422</v>
      </c>
      <c r="G26" s="33">
        <v>5738630</v>
      </c>
      <c r="H26" s="33">
        <v>250683693773</v>
      </c>
      <c r="I26" s="33">
        <f>Table6[[#This Row],[AllTotalCost]]*(-1)</f>
        <v>243547755456</v>
      </c>
      <c r="J26" s="33">
        <v>-243547755456</v>
      </c>
      <c r="K26" s="33">
        <f>Table6[[#This Row],[AllTotalAmount]]-Table6[[#This Row],[Column2]]</f>
        <v>7135938317</v>
      </c>
    </row>
    <row r="27" spans="1:11" ht="23.1" customHeight="1">
      <c r="A27" s="33" t="s">
        <v>141</v>
      </c>
      <c r="B27" s="33">
        <v>4958170</v>
      </c>
      <c r="C27" s="33">
        <v>44942057906</v>
      </c>
      <c r="D27" s="33">
        <f>Table6[[#This Row],[PeriodTotalCost]]*(-1)</f>
        <v>51637298837</v>
      </c>
      <c r="E27" s="33">
        <v>-51637298837</v>
      </c>
      <c r="F27" s="33">
        <f>Table6[[#This Row],[PeriodTotalAmount]]-Table6[[#This Row],[Column1]]</f>
        <v>-6695240931</v>
      </c>
      <c r="G27" s="33">
        <v>23906215</v>
      </c>
      <c r="H27" s="33">
        <v>280094978667</v>
      </c>
      <c r="I27" s="33">
        <f>Table6[[#This Row],[AllTotalCost]]*(-1)</f>
        <v>280518434358</v>
      </c>
      <c r="J27" s="33">
        <v>-280518434358</v>
      </c>
      <c r="K27" s="33">
        <f>Table6[[#This Row],[AllTotalAmount]]-Table6[[#This Row],[Column2]]</f>
        <v>-423455691</v>
      </c>
    </row>
    <row r="28" spans="1:11" ht="23.1" customHeight="1">
      <c r="A28" s="33" t="s">
        <v>163</v>
      </c>
      <c r="B28" s="33">
        <v>1536056</v>
      </c>
      <c r="C28" s="33">
        <v>93141940021</v>
      </c>
      <c r="D28" s="33">
        <f>Table6[[#This Row],[PeriodTotalCost]]*(-1)</f>
        <v>99206451404</v>
      </c>
      <c r="E28" s="33">
        <v>-99206451404</v>
      </c>
      <c r="F28" s="33">
        <f>Table6[[#This Row],[PeriodTotalAmount]]-Table6[[#This Row],[Column1]]</f>
        <v>-6064511383</v>
      </c>
      <c r="G28" s="33">
        <v>4690096</v>
      </c>
      <c r="H28" s="33">
        <v>304237074802</v>
      </c>
      <c r="I28" s="33">
        <f>Table6[[#This Row],[AllTotalCost]]*(-1)</f>
        <v>307378684258</v>
      </c>
      <c r="J28" s="33">
        <v>-307378684258</v>
      </c>
      <c r="K28" s="33">
        <f>Table6[[#This Row],[AllTotalAmount]]-Table6[[#This Row],[Column2]]</f>
        <v>-3141609456</v>
      </c>
    </row>
    <row r="29" spans="1:11" ht="23.1" customHeight="1">
      <c r="A29" s="33" t="s">
        <v>173</v>
      </c>
      <c r="B29" s="33">
        <v>489678</v>
      </c>
      <c r="C29" s="33">
        <v>57271643466</v>
      </c>
      <c r="D29" s="33">
        <f>Table6[[#This Row],[PeriodTotalCost]]*(-1)</f>
        <v>68538554032</v>
      </c>
      <c r="E29" s="33">
        <v>-68538554032</v>
      </c>
      <c r="F29" s="33">
        <f>Table6[[#This Row],[PeriodTotalAmount]]-Table6[[#This Row],[Column1]]</f>
        <v>-11266910566</v>
      </c>
      <c r="G29" s="33">
        <v>1856023</v>
      </c>
      <c r="H29" s="33">
        <v>230907865512</v>
      </c>
      <c r="I29" s="33">
        <f>Table6[[#This Row],[AllTotalCost]]*(-1)</f>
        <v>244335477364</v>
      </c>
      <c r="J29" s="33">
        <v>-244335477364</v>
      </c>
      <c r="K29" s="33">
        <f>Table6[[#This Row],[AllTotalAmount]]-Table6[[#This Row],[Column2]]</f>
        <v>-13427611852</v>
      </c>
    </row>
    <row r="30" spans="1:11" ht="23.1" customHeight="1">
      <c r="A30" s="33" t="s">
        <v>155</v>
      </c>
      <c r="B30" s="33">
        <v>200471</v>
      </c>
      <c r="C30" s="33">
        <v>9746248956</v>
      </c>
      <c r="D30" s="33">
        <f>Table6[[#This Row],[PeriodTotalCost]]*(-1)</f>
        <v>9590433722</v>
      </c>
      <c r="E30" s="33">
        <v>-9590433722</v>
      </c>
      <c r="F30" s="33">
        <f>Table6[[#This Row],[PeriodTotalAmount]]-Table6[[#This Row],[Column1]]</f>
        <v>155815234</v>
      </c>
      <c r="G30" s="33">
        <v>1785635</v>
      </c>
      <c r="H30" s="33">
        <v>105581791231</v>
      </c>
      <c r="I30" s="33">
        <f>Table6[[#This Row],[AllTotalCost]]*(-1)</f>
        <v>96197026053</v>
      </c>
      <c r="J30" s="33">
        <v>-96197026053</v>
      </c>
      <c r="K30" s="33">
        <f>Table6[[#This Row],[AllTotalAmount]]-Table6[[#This Row],[Column2]]</f>
        <v>9384765178</v>
      </c>
    </row>
    <row r="31" spans="1:11" ht="23.1" customHeight="1">
      <c r="A31" s="33" t="s">
        <v>154</v>
      </c>
      <c r="B31" s="33">
        <v>1784947</v>
      </c>
      <c r="C31" s="33">
        <v>79691464715</v>
      </c>
      <c r="D31" s="33">
        <f>Table6[[#This Row],[PeriodTotalCost]]*(-1)</f>
        <v>77732930639</v>
      </c>
      <c r="E31" s="33">
        <v>-77732930639</v>
      </c>
      <c r="F31" s="33">
        <f>Table6[[#This Row],[PeriodTotalAmount]]-Table6[[#This Row],[Column1]]</f>
        <v>1958534076</v>
      </c>
      <c r="G31" s="33">
        <v>3954016</v>
      </c>
      <c r="H31" s="33">
        <v>177517671268</v>
      </c>
      <c r="I31" s="33">
        <f>Table6[[#This Row],[AllTotalCost]]*(-1)</f>
        <v>167504790544</v>
      </c>
      <c r="J31" s="33">
        <v>-167504790544</v>
      </c>
      <c r="K31" s="33">
        <f>Table6[[#This Row],[AllTotalAmount]]-Table6[[#This Row],[Column2]]</f>
        <v>10012880724</v>
      </c>
    </row>
    <row r="32" spans="1:11" ht="23.1" customHeight="1">
      <c r="A32" s="33" t="s">
        <v>185</v>
      </c>
      <c r="B32" s="33">
        <v>4470342</v>
      </c>
      <c r="C32" s="33">
        <v>135745606723</v>
      </c>
      <c r="D32" s="33">
        <f>Table6[[#This Row],[PeriodTotalCost]]*(-1)</f>
        <v>141669166223</v>
      </c>
      <c r="E32" s="33">
        <v>-141669166223</v>
      </c>
      <c r="F32" s="33">
        <f>Table6[[#This Row],[PeriodTotalAmount]]-Table6[[#This Row],[Column1]]</f>
        <v>-5923559500</v>
      </c>
      <c r="G32" s="33">
        <v>16082688</v>
      </c>
      <c r="H32" s="33">
        <f>414113145306+78694857</f>
        <v>414191840163</v>
      </c>
      <c r="I32" s="33">
        <f>Table6[[#This Row],[AllTotalCost]]*(-1)</f>
        <v>402912892025</v>
      </c>
      <c r="J32" s="33">
        <v>-402912892025</v>
      </c>
      <c r="K32" s="33">
        <f>Table6[[#This Row],[AllTotalAmount]]-Table6[[#This Row],[Column2]]</f>
        <v>11278948138</v>
      </c>
    </row>
    <row r="33" spans="1:11" ht="23.1" customHeight="1">
      <c r="A33" s="33" t="s">
        <v>165</v>
      </c>
      <c r="B33" s="33">
        <v>4290905</v>
      </c>
      <c r="C33" s="33">
        <v>95949578668</v>
      </c>
      <c r="D33" s="33">
        <f>Table6[[#This Row],[PeriodTotalCost]]*(-1)</f>
        <v>90943546916</v>
      </c>
      <c r="E33" s="33">
        <v>-90943546916</v>
      </c>
      <c r="F33" s="33">
        <f>Table6[[#This Row],[PeriodTotalAmount]]-Table6[[#This Row],[Column1]]</f>
        <v>5006031752</v>
      </c>
      <c r="G33" s="33">
        <v>20163674</v>
      </c>
      <c r="H33" s="33">
        <v>360534862819</v>
      </c>
      <c r="I33" s="33">
        <f>Table6[[#This Row],[AllTotalCost]]*(-1)</f>
        <v>346449003839</v>
      </c>
      <c r="J33" s="33">
        <v>-346449003839</v>
      </c>
      <c r="K33" s="33">
        <f>Table6[[#This Row],[AllTotalAmount]]-Table6[[#This Row],[Column2]]</f>
        <v>14085858980</v>
      </c>
    </row>
    <row r="34" spans="1:11" ht="23.1" customHeight="1">
      <c r="A34" s="33" t="s">
        <v>159</v>
      </c>
      <c r="B34" s="33">
        <v>8000000</v>
      </c>
      <c r="C34" s="33">
        <v>207089493011</v>
      </c>
      <c r="D34" s="33">
        <f>Table6[[#This Row],[PeriodTotalCost]]*(-1)</f>
        <v>174473979380</v>
      </c>
      <c r="E34" s="33">
        <v>-174473979380</v>
      </c>
      <c r="F34" s="33">
        <f>Table6[[#This Row],[PeriodTotalAmount]]-Table6[[#This Row],[Column1]]</f>
        <v>32615513631</v>
      </c>
      <c r="G34" s="33">
        <v>8000000</v>
      </c>
      <c r="H34" s="33">
        <v>207089493011</v>
      </c>
      <c r="I34" s="33">
        <f>Table6[[#This Row],[AllTotalCost]]*(-1)</f>
        <v>174473979380</v>
      </c>
      <c r="J34" s="33">
        <v>-174473979380</v>
      </c>
      <c r="K34" s="33">
        <f>Table6[[#This Row],[AllTotalAmount]]-Table6[[#This Row],[Column2]]</f>
        <v>32615513631</v>
      </c>
    </row>
    <row r="35" spans="1:11" ht="23.1" customHeight="1">
      <c r="A35" s="33" t="s">
        <v>190</v>
      </c>
      <c r="B35" s="33">
        <v>4550925</v>
      </c>
      <c r="C35" s="33">
        <v>73995787778</v>
      </c>
      <c r="D35" s="33">
        <f>Table6[[#This Row],[PeriodTotalCost]]*(-1)</f>
        <v>80433805005</v>
      </c>
      <c r="E35" s="33">
        <v>-80433805005</v>
      </c>
      <c r="F35" s="33">
        <f>Table6[[#This Row],[PeriodTotalAmount]]-Table6[[#This Row],[Column1]]</f>
        <v>-6438017227</v>
      </c>
      <c r="G35" s="33">
        <v>46602193</v>
      </c>
      <c r="H35" s="33">
        <f>853462488797+352214512</f>
        <v>853814703309</v>
      </c>
      <c r="I35" s="33">
        <f>Table6[[#This Row],[AllTotalCost]]*(-1)</f>
        <v>862494944617</v>
      </c>
      <c r="J35" s="33">
        <v>-862494944617</v>
      </c>
      <c r="K35" s="33">
        <f>Table6[[#This Row],[AllTotalAmount]]-Table6[[#This Row],[Column2]]</f>
        <v>-8680241308</v>
      </c>
    </row>
    <row r="36" spans="1:11" ht="23.1" customHeight="1">
      <c r="A36" s="33" t="s">
        <v>182</v>
      </c>
      <c r="B36" s="33">
        <v>97722144</v>
      </c>
      <c r="C36" s="33">
        <v>2176551466613</v>
      </c>
      <c r="D36" s="33">
        <f>Table6[[#This Row],[PeriodTotalCost]]*(-1)</f>
        <v>2221496307976</v>
      </c>
      <c r="E36" s="33">
        <v>-2221496307976</v>
      </c>
      <c r="F36" s="33">
        <f>Table6[[#This Row],[PeriodTotalAmount]]-Table6[[#This Row],[Column1]]</f>
        <v>-44944841363</v>
      </c>
      <c r="G36" s="33">
        <v>287789192</v>
      </c>
      <c r="H36" s="33">
        <v>7044696675012</v>
      </c>
      <c r="I36" s="33">
        <f>Table6[[#This Row],[AllTotalCost]]*(-1)</f>
        <v>7394417045045</v>
      </c>
      <c r="J36" s="33">
        <v>-7394417045045</v>
      </c>
      <c r="K36" s="33">
        <f>Table6[[#This Row],[AllTotalAmount]]-Table6[[#This Row],[Column2]]</f>
        <v>-349720370033</v>
      </c>
    </row>
    <row r="37" spans="1:11" ht="23.1" customHeight="1">
      <c r="A37" s="33" t="s">
        <v>170</v>
      </c>
      <c r="B37" s="33">
        <v>905448</v>
      </c>
      <c r="C37" s="33">
        <v>44599609224</v>
      </c>
      <c r="D37" s="33">
        <f>Table6[[#This Row],[PeriodTotalCost]]*(-1)</f>
        <v>53157193512</v>
      </c>
      <c r="E37" s="33">
        <v>-53157193512</v>
      </c>
      <c r="F37" s="33">
        <f>Table6[[#This Row],[PeriodTotalAmount]]-Table6[[#This Row],[Column1]]</f>
        <v>-8557584288</v>
      </c>
      <c r="G37" s="33">
        <v>17871723</v>
      </c>
      <c r="H37" s="33">
        <f>1031765017773+866985591</f>
        <v>1032632003364</v>
      </c>
      <c r="I37" s="33">
        <f>Table6[[#This Row],[AllTotalCost]]*(-1)</f>
        <v>1062290123331</v>
      </c>
      <c r="J37" s="33">
        <v>-1062290123331</v>
      </c>
      <c r="K37" s="33">
        <f>Table6[[#This Row],[AllTotalAmount]]-Table6[[#This Row],[Column2]]</f>
        <v>-29658119967</v>
      </c>
    </row>
    <row r="38" spans="1:11" ht="23.1" customHeight="1">
      <c r="A38" s="33" t="s">
        <v>178</v>
      </c>
      <c r="B38" s="33">
        <v>16174328</v>
      </c>
      <c r="C38" s="33">
        <v>262974265166</v>
      </c>
      <c r="D38" s="33">
        <f>Table6[[#This Row],[PeriodTotalCost]]*(-1)</f>
        <v>264362322473</v>
      </c>
      <c r="E38" s="33">
        <v>-264362322473</v>
      </c>
      <c r="F38" s="33">
        <f>Table6[[#This Row],[PeriodTotalAmount]]-Table6[[#This Row],[Column1]]</f>
        <v>-1388057307</v>
      </c>
      <c r="G38" s="33">
        <v>62096156</v>
      </c>
      <c r="H38" s="33">
        <v>1082845864163</v>
      </c>
      <c r="I38" s="33">
        <f>Table6[[#This Row],[AllTotalCost]]*(-1)</f>
        <v>1044398733999</v>
      </c>
      <c r="J38" s="33">
        <v>-1044398733999</v>
      </c>
      <c r="K38" s="33">
        <f>Table6[[#This Row],[AllTotalAmount]]-Table6[[#This Row],[Column2]]</f>
        <v>38447130164</v>
      </c>
    </row>
    <row r="39" spans="1:11" ht="23.1" customHeight="1">
      <c r="A39" s="33" t="s">
        <v>152</v>
      </c>
      <c r="B39" s="33">
        <v>39002793</v>
      </c>
      <c r="C39" s="33">
        <v>299399557078</v>
      </c>
      <c r="D39" s="33">
        <f>Table6[[#This Row],[PeriodTotalCost]]*(-1)</f>
        <v>321330307474</v>
      </c>
      <c r="E39" s="33">
        <v>-321330307474</v>
      </c>
      <c r="F39" s="33">
        <f>Table6[[#This Row],[PeriodTotalAmount]]-Table6[[#This Row],[Column1]]</f>
        <v>-21930750396</v>
      </c>
      <c r="G39" s="33">
        <v>110408985</v>
      </c>
      <c r="H39" s="33">
        <v>890502848248</v>
      </c>
      <c r="I39" s="33">
        <f>Table6[[#This Row],[AllTotalCost]]*(-1)</f>
        <v>899733668756</v>
      </c>
      <c r="J39" s="33">
        <v>-899733668756</v>
      </c>
      <c r="K39" s="33">
        <f>Table6[[#This Row],[AllTotalAmount]]-Table6[[#This Row],[Column2]]</f>
        <v>-9230820508</v>
      </c>
    </row>
    <row r="40" spans="1:11" ht="23.1" customHeight="1">
      <c r="A40" s="33" t="s">
        <v>151</v>
      </c>
      <c r="B40" s="33">
        <v>20812768</v>
      </c>
      <c r="C40" s="33">
        <v>217910287993</v>
      </c>
      <c r="D40" s="33">
        <f>Table6[[#This Row],[PeriodTotalCost]]*(-1)</f>
        <v>216756415675</v>
      </c>
      <c r="E40" s="33">
        <v>-216756415675</v>
      </c>
      <c r="F40" s="33">
        <f>Table6[[#This Row],[PeriodTotalAmount]]-Table6[[#This Row],[Column1]]</f>
        <v>1153872318</v>
      </c>
      <c r="G40" s="33">
        <v>147217385</v>
      </c>
      <c r="H40" s="33">
        <f>1704085282857+776130918</f>
        <v>1704861413775</v>
      </c>
      <c r="I40" s="33">
        <f>Table6[[#This Row],[AllTotalCost]]*(-1)</f>
        <v>1606754969306</v>
      </c>
      <c r="J40" s="33">
        <v>-1606754969306</v>
      </c>
      <c r="K40" s="33">
        <f>Table6[[#This Row],[AllTotalAmount]]-Table6[[#This Row],[Column2]]</f>
        <v>98106444469</v>
      </c>
    </row>
    <row r="41" spans="1:11" ht="23.1" customHeight="1">
      <c r="A41" s="33" t="s">
        <v>149</v>
      </c>
      <c r="B41" s="33">
        <v>50290960</v>
      </c>
      <c r="C41" s="33">
        <v>600798582288</v>
      </c>
      <c r="D41" s="33">
        <f>Table6[[#This Row],[PeriodTotalCost]]*(-1)</f>
        <v>725289405034</v>
      </c>
      <c r="E41" s="33">
        <v>-725289405034</v>
      </c>
      <c r="F41" s="33">
        <f>Table6[[#This Row],[PeriodTotalAmount]]-Table6[[#This Row],[Column1]]</f>
        <v>-124490822746</v>
      </c>
      <c r="G41" s="33">
        <v>302785978</v>
      </c>
      <c r="H41" s="33">
        <f>4651853513030+4100889774</f>
        <v>4655954402804</v>
      </c>
      <c r="I41" s="33">
        <f>Table6[[#This Row],[AllTotalCost]]*(-1)</f>
        <v>4161012661237</v>
      </c>
      <c r="J41" s="33">
        <v>-4161012661237</v>
      </c>
      <c r="K41" s="33">
        <f>Table6[[#This Row],[AllTotalAmount]]-Table6[[#This Row],[Column2]]</f>
        <v>494941741567</v>
      </c>
    </row>
    <row r="42" spans="1:11" ht="23.1" customHeight="1">
      <c r="A42" s="33" t="s">
        <v>144</v>
      </c>
      <c r="B42" s="33">
        <v>3945914</v>
      </c>
      <c r="C42" s="33">
        <v>128397072221</v>
      </c>
      <c r="D42" s="33">
        <f>Table6[[#This Row],[PeriodTotalCost]]*(-1)</f>
        <v>118451222885</v>
      </c>
      <c r="E42" s="33">
        <v>-118451222885</v>
      </c>
      <c r="F42" s="33">
        <f>Table6[[#This Row],[PeriodTotalAmount]]-Table6[[#This Row],[Column1]]</f>
        <v>9945849336</v>
      </c>
      <c r="G42" s="33">
        <v>10018681</v>
      </c>
      <c r="H42" s="33">
        <v>294025648353</v>
      </c>
      <c r="I42" s="33">
        <f>Table6[[#This Row],[AllTotalCost]]*(-1)</f>
        <v>276036959813</v>
      </c>
      <c r="J42" s="33">
        <v>-276036959813</v>
      </c>
      <c r="K42" s="33">
        <f>Table6[[#This Row],[AllTotalAmount]]-Table6[[#This Row],[Column2]]</f>
        <v>17988688540</v>
      </c>
    </row>
    <row r="43" spans="1:11" ht="23.1" customHeight="1">
      <c r="A43" s="33" t="s">
        <v>146</v>
      </c>
      <c r="B43" s="33">
        <v>2219879</v>
      </c>
      <c r="C43" s="33">
        <v>97959488260</v>
      </c>
      <c r="D43" s="33">
        <f>Table6[[#This Row],[PeriodTotalCost]]*(-1)</f>
        <v>91962918082</v>
      </c>
      <c r="E43" s="33">
        <v>-91962918082</v>
      </c>
      <c r="F43" s="33">
        <f>Table6[[#This Row],[PeriodTotalAmount]]-Table6[[#This Row],[Column1]]</f>
        <v>5996570178</v>
      </c>
      <c r="G43" s="33">
        <v>4937633</v>
      </c>
      <c r="H43" s="33">
        <v>205971875763</v>
      </c>
      <c r="I43" s="33">
        <f>Table6[[#This Row],[AllTotalCost]]*(-1)</f>
        <v>190158576374</v>
      </c>
      <c r="J43" s="33">
        <v>-190158576374</v>
      </c>
      <c r="K43" s="33">
        <f>Table6[[#This Row],[AllTotalAmount]]-Table6[[#This Row],[Column2]]</f>
        <v>15813299389</v>
      </c>
    </row>
    <row r="44" spans="1:11" ht="23.1" customHeight="1">
      <c r="A44" s="33" t="s">
        <v>197</v>
      </c>
      <c r="B44" s="33">
        <v>851273</v>
      </c>
      <c r="C44" s="33">
        <v>113797439215</v>
      </c>
      <c r="D44" s="33">
        <f>Table6[[#This Row],[PeriodTotalCost]]*(-1)</f>
        <v>100068972931</v>
      </c>
      <c r="E44" s="33">
        <v>-100068972931</v>
      </c>
      <c r="F44" s="33">
        <f>Table6[[#This Row],[PeriodTotalAmount]]-Table6[[#This Row],[Column1]]</f>
        <v>13728466284</v>
      </c>
      <c r="G44" s="33">
        <v>3056109</v>
      </c>
      <c r="H44" s="33">
        <v>282568020736</v>
      </c>
      <c r="I44" s="33">
        <f>Table6[[#This Row],[AllTotalCost]]*(-1)</f>
        <v>253126873014</v>
      </c>
      <c r="J44" s="33">
        <v>-253126873014</v>
      </c>
      <c r="K44" s="33">
        <f>Table6[[#This Row],[AllTotalAmount]]-Table6[[#This Row],[Column2]]</f>
        <v>29441147722</v>
      </c>
    </row>
    <row r="45" spans="1:11" ht="23.1" customHeight="1">
      <c r="A45" s="33" t="s">
        <v>198</v>
      </c>
      <c r="B45" s="33">
        <v>1311401</v>
      </c>
      <c r="C45" s="33">
        <v>184828766374</v>
      </c>
      <c r="D45" s="33">
        <f>Table6[[#This Row],[PeriodTotalCost]]*(-1)</f>
        <v>175118328000</v>
      </c>
      <c r="E45" s="33">
        <v>-175118328000</v>
      </c>
      <c r="F45" s="33">
        <f>Table6[[#This Row],[PeriodTotalAmount]]-Table6[[#This Row],[Column1]]</f>
        <v>9710438374</v>
      </c>
      <c r="G45" s="33">
        <v>2350285</v>
      </c>
      <c r="H45" s="33">
        <v>312391290787</v>
      </c>
      <c r="I45" s="33">
        <f>Table6[[#This Row],[AllTotalCost]]*(-1)</f>
        <v>293791668088</v>
      </c>
      <c r="J45" s="33">
        <v>-293791668088</v>
      </c>
      <c r="K45" s="33">
        <f>Table6[[#This Row],[AllTotalAmount]]-Table6[[#This Row],[Column2]]</f>
        <v>18599622699</v>
      </c>
    </row>
    <row r="46" spans="1:11" ht="23.1" customHeight="1">
      <c r="A46" s="33" t="s">
        <v>168</v>
      </c>
      <c r="B46" s="33">
        <v>2876169</v>
      </c>
      <c r="C46" s="33">
        <v>92198234404</v>
      </c>
      <c r="D46" s="33">
        <f>Table6[[#This Row],[PeriodTotalCost]]*(-1)</f>
        <v>99481986755</v>
      </c>
      <c r="E46" s="33">
        <v>-99481986755</v>
      </c>
      <c r="F46" s="33">
        <f>Table6[[#This Row],[PeriodTotalAmount]]-Table6[[#This Row],[Column1]]</f>
        <v>-7283752351</v>
      </c>
      <c r="G46" s="33">
        <v>8007343</v>
      </c>
      <c r="H46" s="33">
        <v>248819470780</v>
      </c>
      <c r="I46" s="33">
        <f>Table6[[#This Row],[AllTotalCost]]*(-1)</f>
        <v>245685981279</v>
      </c>
      <c r="J46" s="33">
        <v>-245685981279</v>
      </c>
      <c r="K46" s="33">
        <f>Table6[[#This Row],[AllTotalAmount]]-Table6[[#This Row],[Column2]]</f>
        <v>3133489501</v>
      </c>
    </row>
    <row r="47" spans="1:11" ht="23.1" customHeight="1">
      <c r="A47" s="33" t="s">
        <v>202</v>
      </c>
      <c r="B47" s="33">
        <v>2276467</v>
      </c>
      <c r="C47" s="33">
        <v>53964784359</v>
      </c>
      <c r="D47" s="33">
        <f>Table6[[#This Row],[PeriodTotalCost]]*(-1)</f>
        <v>52790112628</v>
      </c>
      <c r="E47" s="33">
        <v>-52790112628</v>
      </c>
      <c r="F47" s="33">
        <f>Table6[[#This Row],[PeriodTotalAmount]]-Table6[[#This Row],[Column1]]</f>
        <v>1174671731</v>
      </c>
      <c r="G47" s="33">
        <v>10020870</v>
      </c>
      <c r="H47" s="33">
        <v>233066045774</v>
      </c>
      <c r="I47" s="33">
        <f>Table6[[#This Row],[AllTotalCost]]*(-1)</f>
        <v>231268936757</v>
      </c>
      <c r="J47" s="33">
        <v>-231268936757</v>
      </c>
      <c r="K47" s="33">
        <f>Table6[[#This Row],[AllTotalAmount]]-Table6[[#This Row],[Column2]]</f>
        <v>1797109017</v>
      </c>
    </row>
    <row r="48" spans="1:11" ht="23.1" customHeight="1">
      <c r="A48" s="33" t="s">
        <v>137</v>
      </c>
      <c r="B48" s="33">
        <v>1604735</v>
      </c>
      <c r="C48" s="33">
        <v>34970680421</v>
      </c>
      <c r="D48" s="33">
        <f>Table6[[#This Row],[PeriodTotalCost]]*(-1)</f>
        <v>33544727626</v>
      </c>
      <c r="E48" s="33">
        <v>-33544727626</v>
      </c>
      <c r="F48" s="33">
        <f>Table6[[#This Row],[PeriodTotalAmount]]-Table6[[#This Row],[Column1]]</f>
        <v>1425952795</v>
      </c>
      <c r="G48" s="33">
        <v>23263136</v>
      </c>
      <c r="H48" s="33">
        <v>297807160987</v>
      </c>
      <c r="I48" s="33">
        <f>Table6[[#This Row],[AllTotalCost]]*(-1)</f>
        <v>274941727685</v>
      </c>
      <c r="J48" s="33">
        <v>-274941727685</v>
      </c>
      <c r="K48" s="33">
        <f>Table6[[#This Row],[AllTotalAmount]]-Table6[[#This Row],[Column2]]</f>
        <v>22865433302</v>
      </c>
    </row>
    <row r="49" spans="1:11" ht="23.1" customHeight="1">
      <c r="A49" s="33" t="s">
        <v>167</v>
      </c>
      <c r="B49" s="33">
        <v>2229693</v>
      </c>
      <c r="C49" s="33">
        <v>124208764451</v>
      </c>
      <c r="D49" s="33">
        <f>Table6[[#This Row],[PeriodTotalCost]]*(-1)</f>
        <v>120084291594</v>
      </c>
      <c r="E49" s="33">
        <v>-120084291594</v>
      </c>
      <c r="F49" s="33">
        <f>Table6[[#This Row],[PeriodTotalAmount]]-Table6[[#This Row],[Column1]]</f>
        <v>4124472857</v>
      </c>
      <c r="G49" s="33">
        <v>5224383</v>
      </c>
      <c r="H49" s="33">
        <v>288105454382</v>
      </c>
      <c r="I49" s="33">
        <f>Table6[[#This Row],[AllTotalCost]]*(-1)</f>
        <v>280342889468</v>
      </c>
      <c r="J49" s="33">
        <v>-280342889468</v>
      </c>
      <c r="K49" s="33">
        <f>Table6[[#This Row],[AllTotalAmount]]-Table6[[#This Row],[Column2]]</f>
        <v>7762564914</v>
      </c>
    </row>
    <row r="50" spans="1:11" ht="23.1" customHeight="1">
      <c r="A50" s="33" t="s">
        <v>136</v>
      </c>
      <c r="B50" s="33">
        <v>128163</v>
      </c>
      <c r="C50" s="33">
        <v>36107387226</v>
      </c>
      <c r="D50" s="33">
        <f>Table6[[#This Row],[PeriodTotalCost]]*(-1)</f>
        <v>33279950685</v>
      </c>
      <c r="E50" s="33">
        <v>-33279950685</v>
      </c>
      <c r="F50" s="33">
        <f>Table6[[#This Row],[PeriodTotalAmount]]-Table6[[#This Row],[Column1]]</f>
        <v>2827436541</v>
      </c>
      <c r="G50" s="33">
        <v>1945348</v>
      </c>
      <c r="H50" s="33">
        <v>222215398884</v>
      </c>
      <c r="I50" s="33">
        <f>Table6[[#This Row],[AllTotalCost]]*(-1)</f>
        <v>208546149696</v>
      </c>
      <c r="J50" s="33">
        <v>-208546149696</v>
      </c>
      <c r="K50" s="33">
        <f>Table6[[#This Row],[AllTotalAmount]]-Table6[[#This Row],[Column2]]</f>
        <v>13669249188</v>
      </c>
    </row>
    <row r="51" spans="1:11" ht="23.1" customHeight="1">
      <c r="A51" s="33" t="s">
        <v>196</v>
      </c>
      <c r="B51" s="33">
        <v>5860479</v>
      </c>
      <c r="C51" s="33">
        <v>112230572329</v>
      </c>
      <c r="D51" s="33">
        <f>Table6[[#This Row],[PeriodTotalCost]]*(-1)</f>
        <v>106278585315</v>
      </c>
      <c r="E51" s="33">
        <v>-106278585315</v>
      </c>
      <c r="F51" s="33">
        <f>Table6[[#This Row],[PeriodTotalAmount]]-Table6[[#This Row],[Column1]]</f>
        <v>5951987014</v>
      </c>
      <c r="G51" s="33">
        <v>12396240</v>
      </c>
      <c r="H51" s="33">
        <v>224842797821</v>
      </c>
      <c r="I51" s="33">
        <f>Table6[[#This Row],[AllTotalCost]]*(-1)</f>
        <v>215746406523</v>
      </c>
      <c r="J51" s="33">
        <v>-215746406523</v>
      </c>
      <c r="K51" s="33">
        <f>Table6[[#This Row],[AllTotalAmount]]-Table6[[#This Row],[Column2]]</f>
        <v>9096391298</v>
      </c>
    </row>
    <row r="52" spans="1:11" ht="23.1" customHeight="1">
      <c r="A52" s="33" t="s">
        <v>143</v>
      </c>
      <c r="B52" s="33">
        <v>11412742</v>
      </c>
      <c r="C52" s="33">
        <v>180837059829</v>
      </c>
      <c r="D52" s="33">
        <f>Table6[[#This Row],[PeriodTotalCost]]*(-1)</f>
        <v>179372664857</v>
      </c>
      <c r="E52" s="33">
        <v>-179372664857</v>
      </c>
      <c r="F52" s="33">
        <f>Table6[[#This Row],[PeriodTotalAmount]]-Table6[[#This Row],[Column1]]</f>
        <v>1464394972</v>
      </c>
      <c r="G52" s="33">
        <v>23355606</v>
      </c>
      <c r="H52" s="33">
        <v>376535599533</v>
      </c>
      <c r="I52" s="33">
        <f>Table6[[#This Row],[AllTotalCost]]*(-1)</f>
        <v>364379589275</v>
      </c>
      <c r="J52" s="33">
        <v>-364379589275</v>
      </c>
      <c r="K52" s="33">
        <f>Table6[[#This Row],[AllTotalAmount]]-Table6[[#This Row],[Column2]]</f>
        <v>12156010258</v>
      </c>
    </row>
    <row r="53" spans="1:11" ht="23.1" customHeight="1">
      <c r="A53" s="33" t="s">
        <v>135</v>
      </c>
      <c r="B53" s="33">
        <v>3462158</v>
      </c>
      <c r="C53" s="33">
        <v>100219673020</v>
      </c>
      <c r="D53" s="33">
        <f>Table6[[#This Row],[PeriodTotalCost]]*(-1)</f>
        <v>93175988876</v>
      </c>
      <c r="E53" s="33">
        <v>-93175988876</v>
      </c>
      <c r="F53" s="33">
        <f>Table6[[#This Row],[PeriodTotalAmount]]-Table6[[#This Row],[Column1]]</f>
        <v>7043684144</v>
      </c>
      <c r="G53" s="33">
        <v>9447159</v>
      </c>
      <c r="H53" s="33">
        <v>235334913976</v>
      </c>
      <c r="I53" s="33">
        <f>Table6[[#This Row],[AllTotalCost]]*(-1)</f>
        <v>218852239793</v>
      </c>
      <c r="J53" s="33">
        <v>-218852239793</v>
      </c>
      <c r="K53" s="33">
        <f>Table6[[#This Row],[AllTotalAmount]]-Table6[[#This Row],[Column2]]</f>
        <v>16482674183</v>
      </c>
    </row>
    <row r="54" spans="1:11" ht="23.1" customHeight="1">
      <c r="A54" s="33" t="s">
        <v>179</v>
      </c>
      <c r="B54" s="33">
        <v>1258306</v>
      </c>
      <c r="C54" s="33">
        <v>180249517674</v>
      </c>
      <c r="D54" s="33">
        <f>Table6[[#This Row],[PeriodTotalCost]]*(-1)</f>
        <v>183362299902</v>
      </c>
      <c r="E54" s="33">
        <v>-183362299902</v>
      </c>
      <c r="F54" s="33">
        <f>Table6[[#This Row],[PeriodTotalAmount]]-Table6[[#This Row],[Column1]]</f>
        <v>-3112782228</v>
      </c>
      <c r="G54" s="33">
        <v>3405396</v>
      </c>
      <c r="H54" s="33">
        <v>437633576830</v>
      </c>
      <c r="I54" s="33">
        <f>Table6[[#This Row],[AllTotalCost]]*(-1)</f>
        <v>396902347921</v>
      </c>
      <c r="J54" s="33">
        <v>-396902347921</v>
      </c>
      <c r="K54" s="33">
        <f>Table6[[#This Row],[AllTotalAmount]]-Table6[[#This Row],[Column2]]</f>
        <v>40731228909</v>
      </c>
    </row>
    <row r="55" spans="1:11" ht="23.1" customHeight="1">
      <c r="A55" s="33" t="s">
        <v>180</v>
      </c>
      <c r="B55" s="33">
        <v>4199750</v>
      </c>
      <c r="C55" s="33">
        <v>164707090364</v>
      </c>
      <c r="D55" s="33">
        <f>Table6[[#This Row],[PeriodTotalCost]]*(-1)</f>
        <v>147789610168</v>
      </c>
      <c r="E55" s="33">
        <v>-147789610168</v>
      </c>
      <c r="F55" s="33">
        <f>Table6[[#This Row],[PeriodTotalAmount]]-Table6[[#This Row],[Column1]]</f>
        <v>16917480196</v>
      </c>
      <c r="G55" s="33">
        <v>9444574</v>
      </c>
      <c r="H55" s="33">
        <v>339566972606</v>
      </c>
      <c r="I55" s="33">
        <f>Table6[[#This Row],[AllTotalCost]]*(-1)</f>
        <v>316239951514</v>
      </c>
      <c r="J55" s="33">
        <v>-316239951514</v>
      </c>
      <c r="K55" s="33">
        <f>Table6[[#This Row],[AllTotalAmount]]-Table6[[#This Row],[Column2]]</f>
        <v>23327021092</v>
      </c>
    </row>
    <row r="56" spans="1:11" ht="23.1" customHeight="1">
      <c r="A56" s="33" t="s">
        <v>142</v>
      </c>
      <c r="B56" s="33">
        <v>10480739</v>
      </c>
      <c r="C56" s="33">
        <v>188437787481</v>
      </c>
      <c r="D56" s="33">
        <f>Table6[[#This Row],[PeriodTotalCost]]*(-1)</f>
        <v>179472281677</v>
      </c>
      <c r="E56" s="33">
        <v>-179472281677</v>
      </c>
      <c r="F56" s="33">
        <f>Table6[[#This Row],[PeriodTotalAmount]]-Table6[[#This Row],[Column1]]</f>
        <v>8965505804</v>
      </c>
      <c r="G56" s="33">
        <v>22834781</v>
      </c>
      <c r="H56" s="33">
        <v>409198339575</v>
      </c>
      <c r="I56" s="33">
        <f>Table6[[#This Row],[AllTotalCost]]*(-1)</f>
        <v>388252568246</v>
      </c>
      <c r="J56" s="33">
        <v>-388252568246</v>
      </c>
      <c r="K56" s="33">
        <f>Table6[[#This Row],[AllTotalAmount]]-Table6[[#This Row],[Column2]]</f>
        <v>20945771329</v>
      </c>
    </row>
    <row r="57" spans="1:11" ht="23.1" customHeight="1">
      <c r="A57" s="33" t="s">
        <v>145</v>
      </c>
      <c r="B57" s="33">
        <v>992375</v>
      </c>
      <c r="C57" s="33">
        <v>82264898398</v>
      </c>
      <c r="D57" s="33">
        <f>Table6[[#This Row],[PeriodTotalCost]]*(-1)</f>
        <v>78108339357</v>
      </c>
      <c r="E57" s="33">
        <v>-78108339357</v>
      </c>
      <c r="F57" s="33">
        <f>Table6[[#This Row],[PeriodTotalAmount]]-Table6[[#This Row],[Column1]]</f>
        <v>4156559041</v>
      </c>
      <c r="G57" s="33">
        <v>3055088</v>
      </c>
      <c r="H57" s="33">
        <v>194675924543</v>
      </c>
      <c r="I57" s="33">
        <f>Table6[[#This Row],[AllTotalCost]]*(-1)</f>
        <v>180223993080</v>
      </c>
      <c r="J57" s="33">
        <v>-180223993080</v>
      </c>
      <c r="K57" s="33">
        <f>Table6[[#This Row],[AllTotalAmount]]-Table6[[#This Row],[Column2]]</f>
        <v>14451931463</v>
      </c>
    </row>
    <row r="58" spans="1:11" ht="23.1" customHeight="1">
      <c r="A58" s="33" t="s">
        <v>174</v>
      </c>
      <c r="B58" s="33">
        <v>155606</v>
      </c>
      <c r="C58" s="33">
        <v>39941413844</v>
      </c>
      <c r="D58" s="33">
        <f>Table6[[#This Row],[PeriodTotalCost]]*(-1)</f>
        <v>37706094328</v>
      </c>
      <c r="E58" s="33">
        <v>-37706094328</v>
      </c>
      <c r="F58" s="33">
        <f>Table6[[#This Row],[PeriodTotalAmount]]-Table6[[#This Row],[Column1]]</f>
        <v>2235319516</v>
      </c>
      <c r="G58" s="33">
        <v>921415</v>
      </c>
      <c r="H58" s="33">
        <v>172407280932</v>
      </c>
      <c r="I58" s="33">
        <f>Table6[[#This Row],[AllTotalCost]]*(-1)</f>
        <v>164337493922</v>
      </c>
      <c r="J58" s="33">
        <v>-164337493922</v>
      </c>
      <c r="K58" s="33">
        <f>Table6[[#This Row],[AllTotalAmount]]-Table6[[#This Row],[Column2]]</f>
        <v>8069787010</v>
      </c>
    </row>
    <row r="59" spans="1:11" ht="23.1" customHeight="1">
      <c r="A59" s="33" t="s">
        <v>193</v>
      </c>
      <c r="B59" s="33">
        <v>1126398</v>
      </c>
      <c r="C59" s="33">
        <v>51789865153</v>
      </c>
      <c r="D59" s="33">
        <f>Table6[[#This Row],[PeriodTotalCost]]*(-1)</f>
        <v>62490187115</v>
      </c>
      <c r="E59" s="33">
        <v>-62490187115</v>
      </c>
      <c r="F59" s="33">
        <f>Table6[[#This Row],[PeriodTotalAmount]]-Table6[[#This Row],[Column1]]</f>
        <v>-10700321962</v>
      </c>
      <c r="G59" s="33">
        <v>4754593</v>
      </c>
      <c r="H59" s="33">
        <v>303633788806</v>
      </c>
      <c r="I59" s="33">
        <f>Table6[[#This Row],[AllTotalCost]]*(-1)</f>
        <v>287788564114</v>
      </c>
      <c r="J59" s="33">
        <v>-287788564114</v>
      </c>
      <c r="K59" s="33">
        <f>Table6[[#This Row],[AllTotalAmount]]-Table6[[#This Row],[Column2]]</f>
        <v>15845224692</v>
      </c>
    </row>
    <row r="60" spans="1:11" ht="23.1" customHeight="1">
      <c r="A60" s="33" t="s">
        <v>139</v>
      </c>
      <c r="B60" s="33">
        <v>3754638</v>
      </c>
      <c r="C60" s="33">
        <v>222583801044</v>
      </c>
      <c r="D60" s="33">
        <f>Table6[[#This Row],[PeriodTotalCost]]*(-1)</f>
        <v>216979124958</v>
      </c>
      <c r="E60" s="33">
        <v>-216979124958</v>
      </c>
      <c r="F60" s="33">
        <f>Table6[[#This Row],[PeriodTotalAmount]]-Table6[[#This Row],[Column1]]</f>
        <v>5604676086</v>
      </c>
      <c r="G60" s="33">
        <v>5654282</v>
      </c>
      <c r="H60" s="33">
        <v>320086633147</v>
      </c>
      <c r="I60" s="33">
        <f>Table6[[#This Row],[AllTotalCost]]*(-1)</f>
        <v>269671450230</v>
      </c>
      <c r="J60" s="33">
        <v>-269671450230</v>
      </c>
      <c r="K60" s="33">
        <f>Table6[[#This Row],[AllTotalAmount]]-Table6[[#This Row],[Column2]]</f>
        <v>50415182917</v>
      </c>
    </row>
    <row r="61" spans="1:11" ht="23.1" customHeight="1">
      <c r="A61" s="33" t="s">
        <v>150</v>
      </c>
      <c r="B61" s="33">
        <v>4729200</v>
      </c>
      <c r="C61" s="33">
        <v>130346867927</v>
      </c>
      <c r="D61" s="33">
        <f>Table6[[#This Row],[PeriodTotalCost]]*(-1)</f>
        <v>161033009299</v>
      </c>
      <c r="E61" s="33">
        <v>-161033009299</v>
      </c>
      <c r="F61" s="33">
        <f>Table6[[#This Row],[PeriodTotalAmount]]-Table6[[#This Row],[Column1]]</f>
        <v>-30686141372</v>
      </c>
      <c r="G61" s="33">
        <v>33324382</v>
      </c>
      <c r="H61" s="33">
        <f>946075440921+611506634</f>
        <v>946686947555</v>
      </c>
      <c r="I61" s="33">
        <f>Table6[[#This Row],[AllTotalCost]]*(-1)</f>
        <v>998815575338</v>
      </c>
      <c r="J61" s="33">
        <v>-998815575338</v>
      </c>
      <c r="K61" s="33">
        <f>Table6[[#This Row],[AllTotalAmount]]-Table6[[#This Row],[Column2]]</f>
        <v>-52128627783</v>
      </c>
    </row>
    <row r="62" spans="1:11" ht="23.1" customHeight="1">
      <c r="A62" s="33" t="s">
        <v>189</v>
      </c>
      <c r="B62" s="33">
        <v>0</v>
      </c>
      <c r="C62" s="33">
        <v>0</v>
      </c>
      <c r="D62" s="33">
        <f>Table6[[#This Row],[PeriodTotalCost]]*(-1)</f>
        <v>0</v>
      </c>
      <c r="E62" s="33">
        <v>0</v>
      </c>
      <c r="F62" s="33">
        <f>Table6[[#This Row],[PeriodTotalAmount]]-Table6[[#This Row],[Column1]]</f>
        <v>0</v>
      </c>
      <c r="G62" s="33">
        <v>650000</v>
      </c>
      <c r="H62" s="33">
        <v>11320602930</v>
      </c>
      <c r="I62" s="33">
        <f>Table6[[#This Row],[AllTotalCost]]*(-1)</f>
        <v>11058258079</v>
      </c>
      <c r="J62" s="33">
        <v>-11058258079</v>
      </c>
      <c r="K62" s="33">
        <f>Table6[[#This Row],[AllTotalAmount]]-Table6[[#This Row],[Column2]]</f>
        <v>262344851</v>
      </c>
    </row>
    <row r="63" spans="1:11" ht="23.1" customHeight="1">
      <c r="A63" s="33" t="s">
        <v>133</v>
      </c>
      <c r="B63" s="33">
        <v>205325</v>
      </c>
      <c r="C63" s="33">
        <v>10240483102</v>
      </c>
      <c r="D63" s="33">
        <f>Table6[[#This Row],[PeriodTotalCost]]*(-1)</f>
        <v>12950609494</v>
      </c>
      <c r="E63" s="33">
        <v>-12950609494</v>
      </c>
      <c r="F63" s="33">
        <f>Table6[[#This Row],[PeriodTotalAmount]]-Table6[[#This Row],[Column1]]</f>
        <v>-2710126392</v>
      </c>
      <c r="G63" s="33">
        <v>3913920</v>
      </c>
      <c r="H63" s="33">
        <v>235524009276</v>
      </c>
      <c r="I63" s="33">
        <f>Table6[[#This Row],[AllTotalCost]]*(-1)</f>
        <v>247025710489</v>
      </c>
      <c r="J63" s="33">
        <v>-247025710489</v>
      </c>
      <c r="K63" s="33">
        <f>Table6[[#This Row],[AllTotalAmount]]-Table6[[#This Row],[Column2]]</f>
        <v>-11501701213</v>
      </c>
    </row>
    <row r="64" spans="1:11" ht="23.1" customHeight="1">
      <c r="A64" s="33" t="s">
        <v>188</v>
      </c>
      <c r="B64" s="33">
        <v>28004187</v>
      </c>
      <c r="C64" s="33">
        <v>103130408732</v>
      </c>
      <c r="D64" s="33">
        <f>Table6[[#This Row],[PeriodTotalCost]]*(-1)</f>
        <v>119306167089</v>
      </c>
      <c r="E64" s="33">
        <v>-119306167089</v>
      </c>
      <c r="F64" s="33">
        <f>Table6[[#This Row],[PeriodTotalAmount]]-Table6[[#This Row],[Column1]]</f>
        <v>-16175758357</v>
      </c>
      <c r="G64" s="33">
        <v>32903598</v>
      </c>
      <c r="H64" s="33">
        <v>125349222173</v>
      </c>
      <c r="I64" s="33">
        <f>Table6[[#This Row],[AllTotalCost]]*(-1)</f>
        <v>140975800274</v>
      </c>
      <c r="J64" s="33">
        <v>-140975800274</v>
      </c>
      <c r="K64" s="33">
        <f>Table6[[#This Row],[AllTotalAmount]]-Table6[[#This Row],[Column2]]</f>
        <v>-15626578101</v>
      </c>
    </row>
    <row r="65" spans="1:11" ht="23.1" customHeight="1">
      <c r="A65" s="33" t="s">
        <v>153</v>
      </c>
      <c r="B65" s="33">
        <v>1015515</v>
      </c>
      <c r="C65" s="33">
        <v>37708686711</v>
      </c>
      <c r="D65" s="33">
        <f>Table6[[#This Row],[PeriodTotalCost]]*(-1)</f>
        <v>31163155052</v>
      </c>
      <c r="E65" s="33">
        <v>-31163155052</v>
      </c>
      <c r="F65" s="33">
        <f>Table6[[#This Row],[PeriodTotalAmount]]-Table6[[#This Row],[Column1]]</f>
        <v>6545531659</v>
      </c>
      <c r="G65" s="33">
        <v>4699152</v>
      </c>
      <c r="H65" s="33">
        <v>173695775784</v>
      </c>
      <c r="I65" s="33">
        <f>Table6[[#This Row],[AllTotalCost]]*(-1)</f>
        <v>156507856048</v>
      </c>
      <c r="J65" s="33">
        <v>-156507856048</v>
      </c>
      <c r="K65" s="33">
        <f>Table6[[#This Row],[AllTotalAmount]]-Table6[[#This Row],[Column2]]</f>
        <v>17187919736</v>
      </c>
    </row>
    <row r="66" spans="1:11" ht="23.1" customHeight="1">
      <c r="A66" s="33" t="s">
        <v>175</v>
      </c>
      <c r="B66" s="33">
        <v>849527</v>
      </c>
      <c r="C66" s="33">
        <v>22715104534</v>
      </c>
      <c r="D66" s="33">
        <f>Table6[[#This Row],[PeriodTotalCost]]*(-1)</f>
        <v>24805544690</v>
      </c>
      <c r="E66" s="33">
        <v>-24805544690</v>
      </c>
      <c r="F66" s="33">
        <f>Table6[[#This Row],[PeriodTotalAmount]]-Table6[[#This Row],[Column1]]</f>
        <v>-2090440156</v>
      </c>
      <c r="G66" s="33">
        <v>3176797</v>
      </c>
      <c r="H66" s="33">
        <v>89478628076</v>
      </c>
      <c r="I66" s="33">
        <f>Table6[[#This Row],[AllTotalCost]]*(-1)</f>
        <v>89565738578</v>
      </c>
      <c r="J66" s="33">
        <v>-89565738578</v>
      </c>
      <c r="K66" s="33">
        <f>Table6[[#This Row],[AllTotalAmount]]-Table6[[#This Row],[Column2]]</f>
        <v>-87110502</v>
      </c>
    </row>
    <row r="67" spans="1:11" ht="23.1" customHeight="1">
      <c r="A67" s="33" t="s">
        <v>171</v>
      </c>
      <c r="B67" s="33">
        <v>3263689</v>
      </c>
      <c r="C67" s="33">
        <v>130311531198</v>
      </c>
      <c r="D67" s="33">
        <f>Table6[[#This Row],[PeriodTotalCost]]*(-1)</f>
        <v>125856012991</v>
      </c>
      <c r="E67" s="33">
        <v>-125856012991</v>
      </c>
      <c r="F67" s="33">
        <f>Table6[[#This Row],[PeriodTotalAmount]]-Table6[[#This Row],[Column1]]</f>
        <v>4455518207</v>
      </c>
      <c r="G67" s="33">
        <v>10809833</v>
      </c>
      <c r="H67" s="33">
        <v>365642058312</v>
      </c>
      <c r="I67" s="33">
        <f>Table6[[#This Row],[AllTotalCost]]*(-1)</f>
        <v>348483615021</v>
      </c>
      <c r="J67" s="33">
        <v>-348483615021</v>
      </c>
      <c r="K67" s="33">
        <f>Table6[[#This Row],[AllTotalAmount]]-Table6[[#This Row],[Column2]]</f>
        <v>17158443291</v>
      </c>
    </row>
    <row r="68" spans="1:11" ht="23.1" customHeight="1">
      <c r="A68" s="33" t="s">
        <v>203</v>
      </c>
      <c r="B68" s="33">
        <v>1285686</v>
      </c>
      <c r="C68" s="33">
        <v>24808695493</v>
      </c>
      <c r="D68" s="33">
        <f>Table6[[#This Row],[PeriodTotalCost]]*(-1)</f>
        <v>24815875602</v>
      </c>
      <c r="E68" s="33">
        <v>-24815875602</v>
      </c>
      <c r="F68" s="33">
        <f>Table6[[#This Row],[PeriodTotalAmount]]-Table6[[#This Row],[Column1]]</f>
        <v>-7180109</v>
      </c>
      <c r="G68" s="33">
        <v>5071688</v>
      </c>
      <c r="H68" s="33">
        <v>134439085371</v>
      </c>
      <c r="I68" s="33">
        <f>Table6[[#This Row],[AllTotalCost]]*(-1)</f>
        <v>133240065443</v>
      </c>
      <c r="J68" s="33">
        <v>-133240065443</v>
      </c>
      <c r="K68" s="33">
        <f>Table6[[#This Row],[AllTotalAmount]]-Table6[[#This Row],[Column2]]</f>
        <v>1199019928</v>
      </c>
    </row>
    <row r="69" spans="1:11" ht="23.1" customHeight="1">
      <c r="A69" s="33" t="s">
        <v>195</v>
      </c>
      <c r="B69" s="33">
        <v>1350751</v>
      </c>
      <c r="C69" s="33">
        <v>19760045301</v>
      </c>
      <c r="D69" s="33">
        <f>Table6[[#This Row],[PeriodTotalCost]]*(-1)</f>
        <v>18306665163</v>
      </c>
      <c r="E69" s="33">
        <v>-18306665163</v>
      </c>
      <c r="F69" s="33">
        <f>Table6[[#This Row],[PeriodTotalAmount]]-Table6[[#This Row],[Column1]]</f>
        <v>1453380138</v>
      </c>
      <c r="G69" s="33">
        <v>2135531</v>
      </c>
      <c r="H69" s="33">
        <v>42317686769</v>
      </c>
      <c r="I69" s="33">
        <f>Table6[[#This Row],[AllTotalCost]]*(-1)</f>
        <v>41551791678</v>
      </c>
      <c r="J69" s="33">
        <v>-41551791678</v>
      </c>
      <c r="K69" s="33">
        <f>Table6[[#This Row],[AllTotalAmount]]-Table6[[#This Row],[Column2]]</f>
        <v>765895091</v>
      </c>
    </row>
    <row r="70" spans="1:11" ht="23.1" customHeight="1">
      <c r="A70" s="33" t="s">
        <v>130</v>
      </c>
      <c r="B70" s="33">
        <v>1025477</v>
      </c>
      <c r="C70" s="33">
        <v>105304579639</v>
      </c>
      <c r="D70" s="33">
        <f>Table6[[#This Row],[PeriodTotalCost]]*(-1)</f>
        <v>107539832378</v>
      </c>
      <c r="E70" s="33">
        <v>-107539832378</v>
      </c>
      <c r="F70" s="33">
        <f>Table6[[#This Row],[PeriodTotalAmount]]-Table6[[#This Row],[Column1]]</f>
        <v>-2235252739</v>
      </c>
      <c r="G70" s="33">
        <v>5280970</v>
      </c>
      <c r="H70" s="33">
        <f>465956400047+88128597</f>
        <v>466044528644</v>
      </c>
      <c r="I70" s="33">
        <f>Table6[[#This Row],[AllTotalCost]]*(-1)</f>
        <v>463098881634</v>
      </c>
      <c r="J70" s="33">
        <v>-463098881634</v>
      </c>
      <c r="K70" s="33">
        <f>Table6[[#This Row],[AllTotalAmount]]-Table6[[#This Row],[Column2]]</f>
        <v>2945647010</v>
      </c>
    </row>
    <row r="71" spans="1:11" ht="23.1" customHeight="1">
      <c r="A71" s="33" t="s">
        <v>162</v>
      </c>
      <c r="B71" s="33">
        <v>7711111</v>
      </c>
      <c r="C71" s="33">
        <v>295515549623</v>
      </c>
      <c r="D71" s="33">
        <f>Table6[[#This Row],[PeriodTotalCost]]*(-1)</f>
        <v>321317819774</v>
      </c>
      <c r="E71" s="33">
        <v>-321317819774</v>
      </c>
      <c r="F71" s="33">
        <f>Table6[[#This Row],[PeriodTotalAmount]]-Table6[[#This Row],[Column1]]</f>
        <v>-25802270151</v>
      </c>
      <c r="G71" s="33">
        <v>19813690</v>
      </c>
      <c r="H71" s="33">
        <v>843247984249</v>
      </c>
      <c r="I71" s="33">
        <f>Table6[[#This Row],[AllTotalCost]]*(-1)</f>
        <v>829117393778</v>
      </c>
      <c r="J71" s="33">
        <v>-829117393778</v>
      </c>
      <c r="K71" s="33">
        <f>Table6[[#This Row],[AllTotalAmount]]-Table6[[#This Row],[Column2]]</f>
        <v>14130590471</v>
      </c>
    </row>
    <row r="72" spans="1:11" ht="23.1" customHeight="1">
      <c r="A72" s="33" t="s">
        <v>172</v>
      </c>
      <c r="B72" s="33">
        <v>677643</v>
      </c>
      <c r="C72" s="33">
        <v>38459506780</v>
      </c>
      <c r="D72" s="33">
        <f>Table6[[#This Row],[PeriodTotalCost]]*(-1)</f>
        <v>38542515574</v>
      </c>
      <c r="E72" s="33">
        <v>-38542515574</v>
      </c>
      <c r="F72" s="33">
        <f>Table6[[#This Row],[PeriodTotalAmount]]-Table6[[#This Row],[Column1]]</f>
        <v>-83008794</v>
      </c>
      <c r="G72" s="33">
        <v>3304146</v>
      </c>
      <c r="H72" s="33">
        <v>172131677628</v>
      </c>
      <c r="I72" s="33">
        <f>Table6[[#This Row],[AllTotalCost]]*(-1)</f>
        <v>160069623317</v>
      </c>
      <c r="J72" s="33">
        <v>-160069623317</v>
      </c>
      <c r="K72" s="33">
        <f>Table6[[#This Row],[AllTotalAmount]]-Table6[[#This Row],[Column2]]</f>
        <v>12062054311</v>
      </c>
    </row>
    <row r="73" spans="1:11" ht="23.1" customHeight="1">
      <c r="A73" s="33" t="s">
        <v>129</v>
      </c>
      <c r="B73" s="33">
        <v>1156144</v>
      </c>
      <c r="C73" s="33">
        <v>14775591161</v>
      </c>
      <c r="D73" s="33">
        <f>Table6[[#This Row],[PeriodTotalCost]]*(-1)</f>
        <v>13996261469</v>
      </c>
      <c r="E73" s="33">
        <v>-13996261469</v>
      </c>
      <c r="F73" s="33">
        <f>Table6[[#This Row],[PeriodTotalAmount]]-Table6[[#This Row],[Column1]]</f>
        <v>779329692</v>
      </c>
      <c r="G73" s="33">
        <v>11320885</v>
      </c>
      <c r="H73" s="33">
        <f>451786795335+99366525</f>
        <v>451886161860</v>
      </c>
      <c r="I73" s="33">
        <f>Table6[[#This Row],[AllTotalCost]]*(-1)</f>
        <v>454492897847</v>
      </c>
      <c r="J73" s="33">
        <v>-454492897847</v>
      </c>
      <c r="K73" s="33">
        <f>Table6[[#This Row],[AllTotalAmount]]-Table6[[#This Row],[Column2]]</f>
        <v>-2606735987</v>
      </c>
    </row>
    <row r="74" spans="1:11" ht="23.1" customHeight="1">
      <c r="A74" s="33" t="s">
        <v>187</v>
      </c>
      <c r="B74" s="33">
        <v>2791276</v>
      </c>
      <c r="C74" s="33">
        <v>351523935333</v>
      </c>
      <c r="D74" s="33">
        <f>Table6[[#This Row],[PeriodTotalCost]]*(-1)</f>
        <v>331496089125</v>
      </c>
      <c r="E74" s="33">
        <v>-331496089125</v>
      </c>
      <c r="F74" s="33">
        <f>Table6[[#This Row],[PeriodTotalAmount]]-Table6[[#This Row],[Column1]]</f>
        <v>20027846208</v>
      </c>
      <c r="G74" s="33">
        <v>6669980</v>
      </c>
      <c r="H74" s="33">
        <v>654534962104</v>
      </c>
      <c r="I74" s="33">
        <f>Table6[[#This Row],[AllTotalCost]]*(-1)</f>
        <v>613560212713</v>
      </c>
      <c r="J74" s="33">
        <v>-613560212713</v>
      </c>
      <c r="K74" s="33">
        <f>Table6[[#This Row],[AllTotalAmount]]-Table6[[#This Row],[Column2]]</f>
        <v>40974749391</v>
      </c>
    </row>
    <row r="75" spans="1:11" ht="23.1" customHeight="1">
      <c r="A75" s="33" t="s">
        <v>191</v>
      </c>
      <c r="B75" s="33">
        <v>1804722</v>
      </c>
      <c r="C75" s="33">
        <v>72750279909</v>
      </c>
      <c r="D75" s="33">
        <f>Table6[[#This Row],[PeriodTotalCost]]*(-1)</f>
        <v>75936756545</v>
      </c>
      <c r="E75" s="33">
        <v>-75936756545</v>
      </c>
      <c r="F75" s="33">
        <f>Table6[[#This Row],[PeriodTotalAmount]]-Table6[[#This Row],[Column1]]</f>
        <v>-3186476636</v>
      </c>
      <c r="G75" s="33">
        <v>8866092</v>
      </c>
      <c r="H75" s="33">
        <f>408524896274+114104166</f>
        <v>408639000440</v>
      </c>
      <c r="I75" s="33">
        <f>Table6[[#This Row],[AllTotalCost]]*(-1)</f>
        <v>415734077698</v>
      </c>
      <c r="J75" s="33">
        <v>-415734077698</v>
      </c>
      <c r="K75" s="33">
        <f>Table6[[#This Row],[AllTotalAmount]]-Table6[[#This Row],[Column2]]</f>
        <v>-7095077258</v>
      </c>
    </row>
    <row r="76" spans="1:11" ht="23.1" customHeight="1">
      <c r="A76" s="33" t="s">
        <v>192</v>
      </c>
      <c r="B76" s="33">
        <v>11045072</v>
      </c>
      <c r="C76" s="33">
        <v>174772224890</v>
      </c>
      <c r="D76" s="33">
        <f>Table6[[#This Row],[PeriodTotalCost]]*(-1)</f>
        <v>167883731071</v>
      </c>
      <c r="E76" s="33">
        <v>-167883731071</v>
      </c>
      <c r="F76" s="33">
        <f>Table6[[#This Row],[PeriodTotalAmount]]-Table6[[#This Row],[Column1]]</f>
        <v>6888493819</v>
      </c>
      <c r="G76" s="33">
        <v>20725306</v>
      </c>
      <c r="H76" s="33">
        <v>281916430198</v>
      </c>
      <c r="I76" s="33">
        <f>Table6[[#This Row],[AllTotalCost]]*(-1)</f>
        <v>269966634386</v>
      </c>
      <c r="J76" s="33">
        <v>-269966634386</v>
      </c>
      <c r="K76" s="33">
        <f>Table6[[#This Row],[AllTotalAmount]]-Table6[[#This Row],[Column2]]</f>
        <v>11949795812</v>
      </c>
    </row>
    <row r="77" spans="1:11" ht="23.1" customHeight="1">
      <c r="A77" s="33" t="s">
        <v>148</v>
      </c>
      <c r="B77" s="33">
        <v>846558</v>
      </c>
      <c r="C77" s="33">
        <v>22189895331</v>
      </c>
      <c r="D77" s="33">
        <f>Table6[[#This Row],[PeriodTotalCost]]*(-1)</f>
        <v>22732704523</v>
      </c>
      <c r="E77" s="33">
        <v>-22732704523</v>
      </c>
      <c r="F77" s="33">
        <f>Table6[[#This Row],[PeriodTotalAmount]]-Table6[[#This Row],[Column1]]</f>
        <v>-542809192</v>
      </c>
      <c r="G77" s="33">
        <v>1658658</v>
      </c>
      <c r="H77" s="33">
        <v>65462763562</v>
      </c>
      <c r="I77" s="33">
        <f>Table6[[#This Row],[AllTotalCost]]*(-1)</f>
        <v>68406141312</v>
      </c>
      <c r="J77" s="33">
        <v>-68406141312</v>
      </c>
      <c r="K77" s="33">
        <f>Table6[[#This Row],[AllTotalAmount]]-Table6[[#This Row],[Column2]]</f>
        <v>-2943377750</v>
      </c>
    </row>
    <row r="78" spans="1:11" ht="23.1" customHeight="1">
      <c r="A78" s="33" t="s">
        <v>194</v>
      </c>
      <c r="B78" s="33">
        <v>1823186</v>
      </c>
      <c r="C78" s="33">
        <v>97453427755</v>
      </c>
      <c r="D78" s="33">
        <f>Table6[[#This Row],[PeriodTotalCost]]*(-1)</f>
        <v>93243464200</v>
      </c>
      <c r="E78" s="33">
        <v>-93243464200</v>
      </c>
      <c r="F78" s="33">
        <f>Table6[[#This Row],[PeriodTotalAmount]]-Table6[[#This Row],[Column1]]</f>
        <v>4209963555</v>
      </c>
      <c r="G78" s="33">
        <v>5906071</v>
      </c>
      <c r="H78" s="33">
        <v>313859047176</v>
      </c>
      <c r="I78" s="33">
        <f>Table6[[#This Row],[AllTotalCost]]*(-1)</f>
        <v>294262675182</v>
      </c>
      <c r="J78" s="33">
        <v>-294262675182</v>
      </c>
      <c r="K78" s="33">
        <f>Table6[[#This Row],[AllTotalAmount]]-Table6[[#This Row],[Column2]]</f>
        <v>19596371994</v>
      </c>
    </row>
    <row r="79" spans="1:11" ht="23.1" customHeight="1">
      <c r="A79" s="33" t="s">
        <v>131</v>
      </c>
      <c r="B79" s="33">
        <v>490579</v>
      </c>
      <c r="C79" s="33">
        <v>28693746367</v>
      </c>
      <c r="D79" s="33">
        <f>Table6[[#This Row],[PeriodTotalCost]]*(-1)</f>
        <v>32647656228</v>
      </c>
      <c r="E79" s="33">
        <v>-32647656228</v>
      </c>
      <c r="F79" s="33">
        <f>Table6[[#This Row],[PeriodTotalAmount]]-Table6[[#This Row],[Column1]]</f>
        <v>-3953909861</v>
      </c>
      <c r="G79" s="33">
        <v>1703428</v>
      </c>
      <c r="H79" s="33">
        <v>110268251852</v>
      </c>
      <c r="I79" s="33">
        <f>Table6[[#This Row],[AllTotalCost]]*(-1)</f>
        <v>110427465973</v>
      </c>
      <c r="J79" s="33">
        <v>-110427465973</v>
      </c>
      <c r="K79" s="33">
        <f>Table6[[#This Row],[AllTotalAmount]]-Table6[[#This Row],[Column2]]</f>
        <v>-159214121</v>
      </c>
    </row>
    <row r="80" spans="1:11" ht="23.1" customHeight="1">
      <c r="A80" s="33" t="s">
        <v>156</v>
      </c>
      <c r="B80" s="33">
        <v>1126261</v>
      </c>
      <c r="C80" s="33">
        <v>60697258363</v>
      </c>
      <c r="D80" s="33">
        <f>Table6[[#This Row],[PeriodTotalCost]]*(-1)</f>
        <v>60524928090</v>
      </c>
      <c r="E80" s="33">
        <v>-60524928090</v>
      </c>
      <c r="F80" s="33">
        <f>Table6[[#This Row],[PeriodTotalAmount]]-Table6[[#This Row],[Column1]]</f>
        <v>172330273</v>
      </c>
      <c r="G80" s="33">
        <v>5693535</v>
      </c>
      <c r="H80" s="33">
        <v>305709125168</v>
      </c>
      <c r="I80" s="33">
        <f>Table6[[#This Row],[AllTotalCost]]*(-1)</f>
        <v>301197865355</v>
      </c>
      <c r="J80" s="33">
        <v>-301197865355</v>
      </c>
      <c r="K80" s="33">
        <f>Table6[[#This Row],[AllTotalAmount]]-Table6[[#This Row],[Column2]]</f>
        <v>4511259813</v>
      </c>
    </row>
    <row r="81" spans="1:11" ht="23.1" customHeight="1">
      <c r="A81" s="33" t="s">
        <v>160</v>
      </c>
      <c r="B81" s="33">
        <v>2204412</v>
      </c>
      <c r="C81" s="33">
        <v>86797044922</v>
      </c>
      <c r="D81" s="33">
        <f>Table6[[#This Row],[PeriodTotalCost]]*(-1)</f>
        <v>81032309705</v>
      </c>
      <c r="E81" s="33">
        <v>-81032309705</v>
      </c>
      <c r="F81" s="33">
        <f>Table6[[#This Row],[PeriodTotalAmount]]-Table6[[#This Row],[Column1]]</f>
        <v>5764735217</v>
      </c>
      <c r="G81" s="33">
        <v>17972423</v>
      </c>
      <c r="H81" s="33">
        <f>590388925613+337752699</f>
        <v>590726678312</v>
      </c>
      <c r="I81" s="33">
        <f>Table6[[#This Row],[AllTotalCost]]*(-1)</f>
        <v>592561652736</v>
      </c>
      <c r="J81" s="33">
        <v>-592561652736</v>
      </c>
      <c r="K81" s="33">
        <f>Table6[[#This Row],[AllTotalAmount]]-Table6[[#This Row],[Column2]]</f>
        <v>-1834974424</v>
      </c>
    </row>
    <row r="82" spans="1:11" ht="23.1" customHeight="1">
      <c r="A82" s="33" t="s">
        <v>184</v>
      </c>
      <c r="B82" s="33">
        <v>1448065</v>
      </c>
      <c r="C82" s="33">
        <v>32995227569</v>
      </c>
      <c r="D82" s="33">
        <f>Table6[[#This Row],[PeriodTotalCost]]*(-1)</f>
        <v>34230794242</v>
      </c>
      <c r="E82" s="33">
        <v>-34230794242</v>
      </c>
      <c r="F82" s="33">
        <f>Table6[[#This Row],[PeriodTotalAmount]]-Table6[[#This Row],[Column1]]</f>
        <v>-1235566673</v>
      </c>
      <c r="G82" s="33">
        <v>14202915</v>
      </c>
      <c r="H82" s="33">
        <f>326453314466+205557579</f>
        <v>326658872045</v>
      </c>
      <c r="I82" s="33">
        <f>Table6[[#This Row],[AllTotalCost]]*(-1)</f>
        <v>349940805992</v>
      </c>
      <c r="J82" s="33">
        <v>-349940805992</v>
      </c>
      <c r="K82" s="33">
        <f>Table6[[#This Row],[AllTotalAmount]]-Table6[[#This Row],[Column2]]</f>
        <v>-23281933947</v>
      </c>
    </row>
    <row r="83" spans="1:11" ht="23.1" customHeight="1">
      <c r="A83" s="33" t="s">
        <v>138</v>
      </c>
      <c r="B83" s="33">
        <v>888296</v>
      </c>
      <c r="C83" s="33">
        <v>52650436299</v>
      </c>
      <c r="D83" s="33">
        <f>Table6[[#This Row],[PeriodTotalCost]]*(-1)</f>
        <v>54995761144</v>
      </c>
      <c r="E83" s="33">
        <v>-54995761144</v>
      </c>
      <c r="F83" s="33">
        <f>Table6[[#This Row],[PeriodTotalAmount]]-Table6[[#This Row],[Column1]]</f>
        <v>-2345324845</v>
      </c>
      <c r="G83" s="33">
        <v>4318747</v>
      </c>
      <c r="H83" s="33">
        <v>270385634998</v>
      </c>
      <c r="I83" s="33">
        <f>Table6[[#This Row],[AllTotalCost]]*(-1)</f>
        <v>258363189180</v>
      </c>
      <c r="J83" s="33">
        <v>-258363189180</v>
      </c>
      <c r="K83" s="33">
        <f>Table6[[#This Row],[AllTotalAmount]]-Table6[[#This Row],[Column2]]</f>
        <v>12022445818</v>
      </c>
    </row>
    <row r="84" spans="1:11" ht="23.1" customHeight="1">
      <c r="A84" s="33" t="s">
        <v>287</v>
      </c>
      <c r="B84" s="33">
        <v>0</v>
      </c>
      <c r="C84" s="33">
        <v>0</v>
      </c>
      <c r="D84" s="33">
        <f>Table6[[#This Row],[PeriodTotalCost]]*(-1)</f>
        <v>0</v>
      </c>
      <c r="E84" s="33">
        <v>0</v>
      </c>
      <c r="F84" s="33">
        <f>Table6[[#This Row],[PeriodTotalAmount]]-Table6[[#This Row],[Column1]]</f>
        <v>0</v>
      </c>
      <c r="G84" s="33">
        <v>131620</v>
      </c>
      <c r="H84" s="33">
        <v>108231126415</v>
      </c>
      <c r="I84" s="33">
        <f>Table6[[#This Row],[AllTotalCost]]*(-1)</f>
        <v>98139106446</v>
      </c>
      <c r="J84" s="33">
        <v>-98139106446</v>
      </c>
      <c r="K84" s="33">
        <f>Table6[[#This Row],[AllTotalAmount]]-Table6[[#This Row],[Column2]]</f>
        <v>10092019969</v>
      </c>
    </row>
    <row r="85" spans="1:11" ht="23.1" customHeight="1">
      <c r="A85" s="33" t="s">
        <v>278</v>
      </c>
      <c r="B85" s="33">
        <v>0</v>
      </c>
      <c r="C85" s="33">
        <v>0</v>
      </c>
      <c r="D85" s="33">
        <f>Table6[[#This Row],[PeriodTotalCost]]*(-1)</f>
        <v>0</v>
      </c>
      <c r="E85" s="33">
        <v>0</v>
      </c>
      <c r="F85" s="33">
        <f>Table6[[#This Row],[PeriodTotalAmount]]-Table6[[#This Row],[Column1]]</f>
        <v>0</v>
      </c>
      <c r="G85" s="33">
        <v>110846</v>
      </c>
      <c r="H85" s="33">
        <v>85534776356</v>
      </c>
      <c r="I85" s="33">
        <f>Table6[[#This Row],[AllTotalCost]]*(-1)</f>
        <v>78674616406</v>
      </c>
      <c r="J85" s="33">
        <v>-78674616406</v>
      </c>
      <c r="K85" s="33">
        <f>Table6[[#This Row],[AllTotalAmount]]-Table6[[#This Row],[Column2]]</f>
        <v>6860159950</v>
      </c>
    </row>
    <row r="86" spans="1:11" ht="23.1" customHeight="1">
      <c r="A86" s="33" t="s">
        <v>289</v>
      </c>
      <c r="B86" s="33">
        <v>0</v>
      </c>
      <c r="C86" s="33">
        <v>0</v>
      </c>
      <c r="D86" s="33">
        <f>Table6[[#This Row],[PeriodTotalCost]]*(-1)</f>
        <v>0</v>
      </c>
      <c r="E86" s="33">
        <v>0</v>
      </c>
      <c r="F86" s="33">
        <f>Table6[[#This Row],[PeriodTotalAmount]]-Table6[[#This Row],[Column1]]</f>
        <v>0</v>
      </c>
      <c r="G86" s="33">
        <v>34791</v>
      </c>
      <c r="H86" s="33">
        <v>31428334854</v>
      </c>
      <c r="I86" s="33">
        <f>Table6[[#This Row],[AllTotalCost]]*(-1)</f>
        <v>27192538416</v>
      </c>
      <c r="J86" s="33">
        <v>-27192538416</v>
      </c>
      <c r="K86" s="33">
        <f>Table6[[#This Row],[AllTotalAmount]]-Table6[[#This Row],[Column2]]</f>
        <v>4235796438</v>
      </c>
    </row>
    <row r="87" spans="1:11" ht="23.1" customHeight="1">
      <c r="A87" s="33" t="s">
        <v>275</v>
      </c>
      <c r="B87" s="33">
        <v>0</v>
      </c>
      <c r="C87" s="33">
        <v>0</v>
      </c>
      <c r="D87" s="33">
        <f>Table6[[#This Row],[PeriodTotalCost]]*(-1)</f>
        <v>0</v>
      </c>
      <c r="E87" s="33">
        <v>0</v>
      </c>
      <c r="F87" s="33">
        <f>Table6[[#This Row],[PeriodTotalAmount]]-Table6[[#This Row],[Column1]]</f>
        <v>0</v>
      </c>
      <c r="G87" s="33">
        <v>129721</v>
      </c>
      <c r="H87" s="33">
        <v>96727171365</v>
      </c>
      <c r="I87" s="33">
        <f>Table6[[#This Row],[AllTotalCost]]*(-1)</f>
        <v>96369771455</v>
      </c>
      <c r="J87" s="33">
        <v>-96369771455</v>
      </c>
      <c r="K87" s="33">
        <f>Table6[[#This Row],[AllTotalAmount]]-Table6[[#This Row],[Column2]]</f>
        <v>357399910</v>
      </c>
    </row>
    <row r="88" spans="1:11" ht="23.1" customHeight="1">
      <c r="A88" s="33" t="s">
        <v>283</v>
      </c>
      <c r="B88" s="33">
        <v>0</v>
      </c>
      <c r="C88" s="33">
        <v>0</v>
      </c>
      <c r="D88" s="33">
        <f>Table6[[#This Row],[PeriodTotalCost]]*(-1)</f>
        <v>0</v>
      </c>
      <c r="E88" s="33">
        <v>0</v>
      </c>
      <c r="F88" s="33">
        <f>Table6[[#This Row],[PeriodTotalAmount]]-Table6[[#This Row],[Column1]]</f>
        <v>0</v>
      </c>
      <c r="G88" s="33">
        <v>60558</v>
      </c>
      <c r="H88" s="33">
        <v>52092228045</v>
      </c>
      <c r="I88" s="33">
        <f>Table6[[#This Row],[AllTotalCost]]*(-1)</f>
        <v>49902273201</v>
      </c>
      <c r="J88" s="33">
        <v>-49902273201</v>
      </c>
      <c r="K88" s="33">
        <f>Table6[[#This Row],[AllTotalAmount]]-Table6[[#This Row],[Column2]]</f>
        <v>2189954844</v>
      </c>
    </row>
    <row r="89" spans="1:11" ht="23.1" customHeight="1">
      <c r="A89" s="33" t="s">
        <v>284</v>
      </c>
      <c r="B89" s="33">
        <v>0</v>
      </c>
      <c r="C89" s="33">
        <v>0</v>
      </c>
      <c r="D89" s="33">
        <f>Table6[[#This Row],[PeriodTotalCost]]*(-1)</f>
        <v>0</v>
      </c>
      <c r="E89" s="33">
        <v>0</v>
      </c>
      <c r="F89" s="33">
        <f>Table6[[#This Row],[PeriodTotalAmount]]-Table6[[#This Row],[Column1]]</f>
        <v>0</v>
      </c>
      <c r="G89" s="33">
        <v>62687</v>
      </c>
      <c r="H89" s="33">
        <v>45365683798</v>
      </c>
      <c r="I89" s="33">
        <f>Table6[[#This Row],[AllTotalCost]]*(-1)</f>
        <v>45568023451</v>
      </c>
      <c r="J89" s="33">
        <v>-45568023451</v>
      </c>
      <c r="K89" s="33">
        <f>Table6[[#This Row],[AllTotalAmount]]-Table6[[#This Row],[Column2]]</f>
        <v>-202339653</v>
      </c>
    </row>
    <row r="90" spans="1:11" ht="23.1" customHeight="1">
      <c r="A90" s="33" t="s">
        <v>245</v>
      </c>
      <c r="B90" s="33">
        <v>0</v>
      </c>
      <c r="C90" s="33">
        <v>0</v>
      </c>
      <c r="D90" s="33">
        <f>Table6[[#This Row],[PeriodTotalCost]]*(-1)</f>
        <v>0</v>
      </c>
      <c r="E90" s="33">
        <v>0</v>
      </c>
      <c r="F90" s="33">
        <f>Table6[[#This Row],[PeriodTotalAmount]]-Table6[[#This Row],[Column1]]</f>
        <v>0</v>
      </c>
      <c r="G90" s="33">
        <v>113072</v>
      </c>
      <c r="H90" s="33">
        <v>81054750410</v>
      </c>
      <c r="I90" s="33">
        <f>Table6[[#This Row],[AllTotalCost]]*(-1)</f>
        <v>81817409573</v>
      </c>
      <c r="J90" s="33">
        <v>-81817409573</v>
      </c>
      <c r="K90" s="33">
        <f>Table6[[#This Row],[AllTotalAmount]]-Table6[[#This Row],[Column2]]</f>
        <v>-762659163</v>
      </c>
    </row>
    <row r="91" spans="1:11" ht="23.1" customHeight="1">
      <c r="A91" s="33" t="s">
        <v>292</v>
      </c>
      <c r="B91" s="33">
        <v>0</v>
      </c>
      <c r="C91" s="33">
        <v>0</v>
      </c>
      <c r="D91" s="33">
        <f>Table6[[#This Row],[PeriodTotalCost]]*(-1)</f>
        <v>0</v>
      </c>
      <c r="E91" s="33">
        <v>0</v>
      </c>
      <c r="F91" s="33">
        <f>Table6[[#This Row],[PeriodTotalAmount]]-Table6[[#This Row],[Column1]]</f>
        <v>0</v>
      </c>
      <c r="G91" s="33">
        <v>26730</v>
      </c>
      <c r="H91" s="33">
        <v>24039573665</v>
      </c>
      <c r="I91" s="33">
        <f>Table6[[#This Row],[AllTotalCost]]*(-1)</f>
        <v>21536781050</v>
      </c>
      <c r="J91" s="33">
        <v>-21536781050</v>
      </c>
      <c r="K91" s="33">
        <f>Table6[[#This Row],[AllTotalAmount]]-Table6[[#This Row],[Column2]]</f>
        <v>2502792615</v>
      </c>
    </row>
    <row r="92" spans="1:11" ht="23.1" customHeight="1">
      <c r="A92" s="33" t="s">
        <v>248</v>
      </c>
      <c r="B92" s="33">
        <v>0</v>
      </c>
      <c r="C92" s="33">
        <v>0</v>
      </c>
      <c r="D92" s="33">
        <f>Table6[[#This Row],[PeriodTotalCost]]*(-1)</f>
        <v>0</v>
      </c>
      <c r="E92" s="33">
        <v>0</v>
      </c>
      <c r="F92" s="33">
        <f>Table6[[#This Row],[PeriodTotalAmount]]-Table6[[#This Row],[Column1]]</f>
        <v>0</v>
      </c>
      <c r="G92" s="33">
        <v>17240</v>
      </c>
      <c r="H92" s="33">
        <v>12171246686</v>
      </c>
      <c r="I92" s="33">
        <f>Table6[[#This Row],[AllTotalCost]]*(-1)</f>
        <v>12249441909</v>
      </c>
      <c r="J92" s="33">
        <v>-12249441909</v>
      </c>
      <c r="K92" s="33">
        <f>Table6[[#This Row],[AllTotalAmount]]-Table6[[#This Row],[Column2]]</f>
        <v>-78195223</v>
      </c>
    </row>
    <row r="93" spans="1:11" ht="23.1" customHeight="1">
      <c r="A93" s="33" t="s">
        <v>293</v>
      </c>
      <c r="B93" s="33">
        <v>0</v>
      </c>
      <c r="C93" s="33">
        <v>0</v>
      </c>
      <c r="D93" s="33">
        <f>Table6[[#This Row],[PeriodTotalCost]]*(-1)</f>
        <v>0</v>
      </c>
      <c r="E93" s="33">
        <v>0</v>
      </c>
      <c r="F93" s="33">
        <f>Table6[[#This Row],[PeriodTotalAmount]]-Table6[[#This Row],[Column1]]</f>
        <v>0</v>
      </c>
      <c r="G93" s="33">
        <v>28516</v>
      </c>
      <c r="H93" s="33">
        <v>16419034155</v>
      </c>
      <c r="I93" s="33">
        <f>Table6[[#This Row],[AllTotalCost]]*(-1)</f>
        <v>17953489631</v>
      </c>
      <c r="J93" s="33">
        <v>-17953489631</v>
      </c>
      <c r="K93" s="33">
        <f>Table6[[#This Row],[AllTotalAmount]]-Table6[[#This Row],[Column2]]</f>
        <v>-1534455476</v>
      </c>
    </row>
    <row r="94" spans="1:11" ht="23.1" customHeight="1">
      <c r="A94" s="33" t="s">
        <v>286</v>
      </c>
      <c r="B94" s="33">
        <v>0</v>
      </c>
      <c r="C94" s="33">
        <v>0</v>
      </c>
      <c r="D94" s="33">
        <f>Table6[[#This Row],[PeriodTotalCost]]*(-1)</f>
        <v>0</v>
      </c>
      <c r="E94" s="33">
        <v>0</v>
      </c>
      <c r="F94" s="33">
        <f>Table6[[#This Row],[PeriodTotalAmount]]-Table6[[#This Row],[Column1]]</f>
        <v>0</v>
      </c>
      <c r="G94" s="33">
        <v>310000</v>
      </c>
      <c r="H94" s="33">
        <v>307668376812</v>
      </c>
      <c r="I94" s="33">
        <f>Table6[[#This Row],[AllTotalCost]]*(-1)</f>
        <v>301657939510</v>
      </c>
      <c r="J94" s="33">
        <v>-301657939510</v>
      </c>
      <c r="K94" s="33">
        <f>Table6[[#This Row],[AllTotalAmount]]-Table6[[#This Row],[Column2]]</f>
        <v>6010437302</v>
      </c>
    </row>
    <row r="95" spans="1:11" ht="23.1" customHeight="1">
      <c r="A95" s="33" t="s">
        <v>291</v>
      </c>
      <c r="B95" s="33">
        <v>0</v>
      </c>
      <c r="C95" s="33">
        <v>0</v>
      </c>
      <c r="D95" s="33">
        <f>Table6[[#This Row],[PeriodTotalCost]]*(-1)</f>
        <v>0</v>
      </c>
      <c r="E95" s="33">
        <v>0</v>
      </c>
      <c r="F95" s="33">
        <f>Table6[[#This Row],[PeriodTotalAmount]]-Table6[[#This Row],[Column1]]</f>
        <v>0</v>
      </c>
      <c r="G95" s="33">
        <v>22560</v>
      </c>
      <c r="H95" s="33">
        <v>22560000000</v>
      </c>
      <c r="I95" s="33">
        <f>Table6[[#This Row],[AllTotalCost]]*(-1)</f>
        <v>22337678761</v>
      </c>
      <c r="J95" s="33">
        <v>-22337678761</v>
      </c>
      <c r="K95" s="33">
        <f>Table6[[#This Row],[AllTotalAmount]]-Table6[[#This Row],[Column2]]</f>
        <v>222321239</v>
      </c>
    </row>
    <row r="96" spans="1:11" ht="23.1" customHeight="1">
      <c r="A96" s="33" t="s">
        <v>285</v>
      </c>
      <c r="B96" s="33">
        <v>0</v>
      </c>
      <c r="C96" s="33">
        <v>0</v>
      </c>
      <c r="D96" s="33">
        <f>Table6[[#This Row],[PeriodTotalCost]]*(-1)</f>
        <v>0</v>
      </c>
      <c r="E96" s="33">
        <v>0</v>
      </c>
      <c r="F96" s="33">
        <f>Table6[[#This Row],[PeriodTotalAmount]]-Table6[[#This Row],[Column1]]</f>
        <v>0</v>
      </c>
      <c r="G96" s="33">
        <v>29266</v>
      </c>
      <c r="H96" s="33">
        <v>28221214776</v>
      </c>
      <c r="I96" s="33">
        <f>Table6[[#This Row],[AllTotalCost]]*(-1)</f>
        <v>27742908358</v>
      </c>
      <c r="J96" s="33">
        <v>-27742908358</v>
      </c>
      <c r="K96" s="33">
        <f>Table6[[#This Row],[AllTotalAmount]]-Table6[[#This Row],[Column2]]</f>
        <v>478306418</v>
      </c>
    </row>
    <row r="97" spans="1:11" ht="23.1" customHeight="1">
      <c r="A97" s="33" t="s">
        <v>276</v>
      </c>
      <c r="B97" s="33">
        <v>0</v>
      </c>
      <c r="C97" s="33">
        <v>0</v>
      </c>
      <c r="D97" s="33">
        <f>Table6[[#This Row],[PeriodTotalCost]]*(-1)</f>
        <v>0</v>
      </c>
      <c r="E97" s="33">
        <v>0</v>
      </c>
      <c r="F97" s="33">
        <f>Table6[[#This Row],[PeriodTotalAmount]]-Table6[[#This Row],[Column1]]</f>
        <v>0</v>
      </c>
      <c r="G97" s="33">
        <v>46850</v>
      </c>
      <c r="H97" s="33">
        <v>40509914005</v>
      </c>
      <c r="I97" s="33">
        <f>Table6[[#This Row],[AllTotalCost]]*(-1)</f>
        <v>37069893254</v>
      </c>
      <c r="J97" s="33">
        <v>-37069893254</v>
      </c>
      <c r="K97" s="33">
        <f>Table6[[#This Row],[AllTotalAmount]]-Table6[[#This Row],[Column2]]</f>
        <v>3440020751</v>
      </c>
    </row>
    <row r="98" spans="1:11" ht="23.1" customHeight="1">
      <c r="A98" s="33" t="s">
        <v>280</v>
      </c>
      <c r="B98" s="33">
        <v>0</v>
      </c>
      <c r="C98" s="33">
        <v>0</v>
      </c>
      <c r="D98" s="33">
        <f>Table6[[#This Row],[PeriodTotalCost]]*(-1)</f>
        <v>0</v>
      </c>
      <c r="E98" s="33">
        <v>0</v>
      </c>
      <c r="F98" s="33">
        <f>Table6[[#This Row],[PeriodTotalAmount]]-Table6[[#This Row],[Column1]]</f>
        <v>0</v>
      </c>
      <c r="G98" s="33">
        <v>197830</v>
      </c>
      <c r="H98" s="33">
        <v>197830000000</v>
      </c>
      <c r="I98" s="33">
        <f>Table6[[#This Row],[AllTotalCost]]*(-1)</f>
        <v>186701525750</v>
      </c>
      <c r="J98" s="33">
        <v>-186701525750</v>
      </c>
      <c r="K98" s="33">
        <f>Table6[[#This Row],[AllTotalAmount]]-Table6[[#This Row],[Column2]]</f>
        <v>11128474250</v>
      </c>
    </row>
    <row r="99" spans="1:11" ht="23.1" customHeight="1">
      <c r="A99" s="33" t="s">
        <v>240</v>
      </c>
      <c r="B99" s="33">
        <v>0</v>
      </c>
      <c r="C99" s="33">
        <v>0</v>
      </c>
      <c r="D99" s="33">
        <f>Table6[[#This Row],[PeriodTotalCost]]*(-1)</f>
        <v>0</v>
      </c>
      <c r="E99" s="33">
        <v>0</v>
      </c>
      <c r="F99" s="33">
        <f>Table6[[#This Row],[PeriodTotalAmount]]-Table6[[#This Row],[Column1]]</f>
        <v>0</v>
      </c>
      <c r="G99" s="33">
        <v>24454</v>
      </c>
      <c r="H99" s="33">
        <v>20526467516</v>
      </c>
      <c r="I99" s="33">
        <f>Table6[[#This Row],[AllTotalCost]]*(-1)</f>
        <v>19649119676</v>
      </c>
      <c r="J99" s="33">
        <v>-19649119676</v>
      </c>
      <c r="K99" s="33">
        <f>Table6[[#This Row],[AllTotalAmount]]-Table6[[#This Row],[Column2]]</f>
        <v>877347840</v>
      </c>
    </row>
    <row r="100" spans="1:11" ht="23.1" customHeight="1">
      <c r="A100" s="33" t="s">
        <v>290</v>
      </c>
      <c r="B100" s="33">
        <v>0</v>
      </c>
      <c r="C100" s="33">
        <v>0</v>
      </c>
      <c r="D100" s="33">
        <f>Table6[[#This Row],[PeriodTotalCost]]*(-1)</f>
        <v>0</v>
      </c>
      <c r="E100" s="33">
        <v>0</v>
      </c>
      <c r="F100" s="33">
        <f>Table6[[#This Row],[PeriodTotalAmount]]-Table6[[#This Row],[Column1]]</f>
        <v>0</v>
      </c>
      <c r="G100" s="33">
        <v>120378</v>
      </c>
      <c r="H100" s="33">
        <v>100872365483</v>
      </c>
      <c r="I100" s="33">
        <f>Table6[[#This Row],[AllTotalCost]]*(-1)</f>
        <v>100698587502</v>
      </c>
      <c r="J100" s="33">
        <v>-100698587502</v>
      </c>
      <c r="K100" s="33">
        <f>Table6[[#This Row],[AllTotalAmount]]-Table6[[#This Row],[Column2]]</f>
        <v>173777981</v>
      </c>
    </row>
    <row r="101" spans="1:11" ht="23.1" customHeight="1">
      <c r="A101" s="33" t="s">
        <v>279</v>
      </c>
      <c r="B101" s="33">
        <v>0</v>
      </c>
      <c r="C101" s="33">
        <v>0</v>
      </c>
      <c r="D101" s="33">
        <f>Table6[[#This Row],[PeriodTotalCost]]*(-1)</f>
        <v>0</v>
      </c>
      <c r="E101" s="33">
        <v>0</v>
      </c>
      <c r="F101" s="33">
        <f>Table6[[#This Row],[PeriodTotalAmount]]-Table6[[#This Row],[Column1]]</f>
        <v>0</v>
      </c>
      <c r="G101" s="33">
        <v>50034</v>
      </c>
      <c r="H101" s="33">
        <v>41773099532</v>
      </c>
      <c r="I101" s="33">
        <f>Table6[[#This Row],[AllTotalCost]]*(-1)</f>
        <v>41499546980</v>
      </c>
      <c r="J101" s="33">
        <v>-41499546980</v>
      </c>
      <c r="K101" s="33">
        <f>Table6[[#This Row],[AllTotalAmount]]-Table6[[#This Row],[Column2]]</f>
        <v>273552552</v>
      </c>
    </row>
    <row r="102" spans="1:11" ht="23.1" customHeight="1">
      <c r="A102" s="33" t="s">
        <v>294</v>
      </c>
      <c r="B102" s="33">
        <v>0</v>
      </c>
      <c r="C102" s="33">
        <v>0</v>
      </c>
      <c r="D102" s="33">
        <f>Table6[[#This Row],[PeriodTotalCost]]*(-1)</f>
        <v>0</v>
      </c>
      <c r="E102" s="33">
        <v>0</v>
      </c>
      <c r="F102" s="33">
        <f>Table6[[#This Row],[PeriodTotalAmount]]-Table6[[#This Row],[Column1]]</f>
        <v>0</v>
      </c>
      <c r="G102" s="33">
        <v>189705</v>
      </c>
      <c r="H102" s="33">
        <v>152272027165</v>
      </c>
      <c r="I102" s="33">
        <f>Table6[[#This Row],[AllTotalCost]]*(-1)</f>
        <v>148011989009</v>
      </c>
      <c r="J102" s="33">
        <v>-148011989009</v>
      </c>
      <c r="K102" s="33">
        <f>Table6[[#This Row],[AllTotalAmount]]-Table6[[#This Row],[Column2]]</f>
        <v>4260038156</v>
      </c>
    </row>
    <row r="103" spans="1:11" ht="23.1" customHeight="1">
      <c r="A103" s="33" t="s">
        <v>237</v>
      </c>
      <c r="B103" s="33">
        <v>0</v>
      </c>
      <c r="C103" s="33">
        <v>0</v>
      </c>
      <c r="D103" s="33">
        <f>Table6[[#This Row],[PeriodTotalCost]]*(-1)</f>
        <v>0</v>
      </c>
      <c r="E103" s="33">
        <v>0</v>
      </c>
      <c r="F103" s="33">
        <f>Table6[[#This Row],[PeriodTotalAmount]]-Table6[[#This Row],[Column1]]</f>
        <v>0</v>
      </c>
      <c r="G103" s="33">
        <v>368480</v>
      </c>
      <c r="H103" s="33">
        <v>271450306671</v>
      </c>
      <c r="I103" s="33">
        <f>Table6[[#This Row],[AllTotalCost]]*(-1)</f>
        <v>275710667793</v>
      </c>
      <c r="J103" s="33">
        <v>-275710667793</v>
      </c>
      <c r="K103" s="33">
        <f>Table6[[#This Row],[AllTotalAmount]]-Table6[[#This Row],[Column2]]</f>
        <v>-4260361122</v>
      </c>
    </row>
    <row r="104" spans="1:11" ht="23.1" customHeight="1">
      <c r="A104" s="33" t="s">
        <v>282</v>
      </c>
      <c r="B104" s="33">
        <v>0</v>
      </c>
      <c r="C104" s="33">
        <v>0</v>
      </c>
      <c r="D104" s="33">
        <f>Table6[[#This Row],[PeriodTotalCost]]*(-1)</f>
        <v>0</v>
      </c>
      <c r="E104" s="33">
        <v>0</v>
      </c>
      <c r="F104" s="33">
        <f>Table6[[#This Row],[PeriodTotalAmount]]-Table6[[#This Row],[Column1]]</f>
        <v>0</v>
      </c>
      <c r="G104" s="33">
        <v>11800</v>
      </c>
      <c r="H104" s="33">
        <v>11732487775</v>
      </c>
      <c r="I104" s="33">
        <f>Table6[[#This Row],[AllTotalCost]]*(-1)</f>
        <v>10647733795</v>
      </c>
      <c r="J104" s="33">
        <v>-10647733795</v>
      </c>
      <c r="K104" s="33">
        <f>Table6[[#This Row],[AllTotalAmount]]-Table6[[#This Row],[Column2]]</f>
        <v>1084753980</v>
      </c>
    </row>
    <row r="105" spans="1:11" ht="23.1" customHeight="1">
      <c r="A105" s="33" t="s">
        <v>251</v>
      </c>
      <c r="B105" s="33">
        <v>110000</v>
      </c>
      <c r="C105" s="33">
        <v>108453314304</v>
      </c>
      <c r="D105" s="33">
        <f>Table6[[#This Row],[PeriodTotalCost]]*(-1)</f>
        <v>103467838222</v>
      </c>
      <c r="E105" s="33">
        <v>-103467838222</v>
      </c>
      <c r="F105" s="33">
        <f>Table6[[#This Row],[PeriodTotalAmount]]-Table6[[#This Row],[Column1]]</f>
        <v>4985476082</v>
      </c>
      <c r="G105" s="33">
        <v>262000</v>
      </c>
      <c r="H105" s="33">
        <v>254247031304</v>
      </c>
      <c r="I105" s="33">
        <f>Table6[[#This Row],[AllTotalCost]]*(-1)</f>
        <v>246408005914</v>
      </c>
      <c r="J105" s="33">
        <v>-246408005914</v>
      </c>
      <c r="K105" s="33">
        <f>Table6[[#This Row],[AllTotalAmount]]-Table6[[#This Row],[Column2]]</f>
        <v>7839025390</v>
      </c>
    </row>
    <row r="106" spans="1:11" ht="23.1" customHeight="1">
      <c r="A106" s="33" t="s">
        <v>254</v>
      </c>
      <c r="B106" s="33">
        <v>220000</v>
      </c>
      <c r="C106" s="33">
        <v>219840500000</v>
      </c>
      <c r="D106" s="33">
        <f>Table6[[#This Row],[PeriodTotalCost]]*(-1)</f>
        <v>220157277778</v>
      </c>
      <c r="E106" s="33">
        <v>-220157277778</v>
      </c>
      <c r="F106" s="33">
        <f>Table6[[#This Row],[PeriodTotalAmount]]-Table6[[#This Row],[Column1]]</f>
        <v>-316777778</v>
      </c>
      <c r="G106" s="33">
        <v>320000</v>
      </c>
      <c r="H106" s="33">
        <v>319768000000</v>
      </c>
      <c r="I106" s="33">
        <f>Table6[[#This Row],[AllTotalCost]]*(-1)</f>
        <v>320229777778</v>
      </c>
      <c r="J106" s="33">
        <v>-320229777778</v>
      </c>
      <c r="K106" s="33">
        <f>Table6[[#This Row],[AllTotalAmount]]-Table6[[#This Row],[Column2]]</f>
        <v>-461777778</v>
      </c>
    </row>
    <row r="107" spans="1:11" ht="23.1" customHeight="1">
      <c r="A107" s="33" t="s">
        <v>288</v>
      </c>
      <c r="B107" s="33">
        <v>0</v>
      </c>
      <c r="C107" s="33">
        <v>0</v>
      </c>
      <c r="D107" s="33">
        <f>Table6[[#This Row],[PeriodTotalCost]]*(-1)</f>
        <v>0</v>
      </c>
      <c r="E107" s="33">
        <v>0</v>
      </c>
      <c r="F107" s="33">
        <f>Table6[[#This Row],[PeriodTotalAmount]]-Table6[[#This Row],[Column1]]</f>
        <v>0</v>
      </c>
      <c r="G107" s="33">
        <v>30500</v>
      </c>
      <c r="H107" s="33">
        <v>28649214250</v>
      </c>
      <c r="I107" s="33">
        <f>Table6[[#This Row],[AllTotalCost]]*(-1)</f>
        <v>28057882279</v>
      </c>
      <c r="J107" s="33">
        <v>-28057882279</v>
      </c>
      <c r="K107" s="33">
        <f>Table6[[#This Row],[AllTotalAmount]]-Table6[[#This Row],[Column2]]</f>
        <v>591331971</v>
      </c>
    </row>
    <row r="108" spans="1:11" ht="23.1" customHeight="1">
      <c r="A108" s="33" t="s">
        <v>242</v>
      </c>
      <c r="B108" s="33">
        <v>80000</v>
      </c>
      <c r="C108" s="33">
        <v>79942000000</v>
      </c>
      <c r="D108" s="33">
        <f>Table6[[#This Row],[PeriodTotalCost]]*(-1)</f>
        <v>80047500000</v>
      </c>
      <c r="E108" s="33">
        <v>-80047500000</v>
      </c>
      <c r="F108" s="33">
        <f>Table6[[#This Row],[PeriodTotalAmount]]-Table6[[#This Row],[Column1]]</f>
        <v>-105500000</v>
      </c>
      <c r="G108" s="33">
        <v>725000</v>
      </c>
      <c r="H108" s="33">
        <v>724554375000</v>
      </c>
      <c r="I108" s="33">
        <f>Table6[[#This Row],[AllTotalCost]]*(-1)</f>
        <v>725404375000</v>
      </c>
      <c r="J108" s="33">
        <v>-725404375000</v>
      </c>
      <c r="K108" s="33">
        <f>Table6[[#This Row],[AllTotalAmount]]-Table6[[#This Row],[Column2]]</f>
        <v>-850000000</v>
      </c>
    </row>
    <row r="109" spans="1:11" ht="23.1" customHeight="1">
      <c r="A109" s="33" t="s">
        <v>277</v>
      </c>
      <c r="B109" s="33">
        <v>0</v>
      </c>
      <c r="C109" s="33">
        <v>0</v>
      </c>
      <c r="D109" s="33">
        <f>Table6[[#This Row],[PeriodTotalCost]]*(-1)</f>
        <v>0</v>
      </c>
      <c r="E109" s="33">
        <v>0</v>
      </c>
      <c r="F109" s="33">
        <f>Table6[[#This Row],[PeriodTotalAmount]]-Table6[[#This Row],[Column1]]</f>
        <v>0</v>
      </c>
      <c r="G109" s="33">
        <v>15000</v>
      </c>
      <c r="H109" s="33">
        <v>15139016250</v>
      </c>
      <c r="I109" s="33">
        <f>Table6[[#This Row],[AllTotalCost]]*(-1)</f>
        <v>12246096987</v>
      </c>
      <c r="J109" s="33">
        <v>-12246096987</v>
      </c>
      <c r="K109" s="33">
        <f>Table6[[#This Row],[AllTotalAmount]]-Table6[[#This Row],[Column2]]</f>
        <v>2892919263</v>
      </c>
    </row>
    <row r="110" spans="1:11" ht="23.1" customHeight="1">
      <c r="A110" s="33" t="s">
        <v>281</v>
      </c>
      <c r="B110" s="33">
        <v>0</v>
      </c>
      <c r="C110" s="33">
        <v>0</v>
      </c>
      <c r="D110" s="33">
        <f>Table6[[#This Row],[PeriodTotalCost]]*(-1)</f>
        <v>0</v>
      </c>
      <c r="E110" s="33">
        <v>0</v>
      </c>
      <c r="F110" s="33">
        <f>Table6[[#This Row],[PeriodTotalAmount]]-Table6[[#This Row],[Column1]]</f>
        <v>0</v>
      </c>
      <c r="G110" s="33">
        <v>1000</v>
      </c>
      <c r="H110" s="33">
        <v>1009267750</v>
      </c>
      <c r="I110" s="33">
        <f>Table6[[#This Row],[AllTotalCost]]*(-1)</f>
        <v>950310525</v>
      </c>
      <c r="J110" s="33">
        <v>-950310525</v>
      </c>
      <c r="K110" s="33">
        <f>Table6[[#This Row],[AllTotalAmount]]-Table6[[#This Row],[Column2]]</f>
        <v>58957225</v>
      </c>
    </row>
    <row r="111" spans="1:11" ht="23.1" customHeight="1">
      <c r="A111" s="33" t="s">
        <v>315</v>
      </c>
      <c r="B111" s="33">
        <v>0</v>
      </c>
      <c r="C111" s="33">
        <v>0</v>
      </c>
      <c r="D111" s="33">
        <f>Table6[[#This Row],[PeriodTotalCost]]*(-1)</f>
        <v>0</v>
      </c>
      <c r="E111" s="33">
        <v>0</v>
      </c>
      <c r="F111" s="33">
        <f>Table6[[#This Row],[PeriodTotalAmount]]-Table6[[#This Row],[Column1]]</f>
        <v>0</v>
      </c>
      <c r="G111" s="33">
        <v>19669</v>
      </c>
      <c r="H111" s="33">
        <v>629932019</v>
      </c>
      <c r="I111" s="33">
        <f>Table6[[#This Row],[AllTotalCost]]*(-1)</f>
        <v>566143468</v>
      </c>
      <c r="J111" s="33">
        <v>-566143468</v>
      </c>
      <c r="K111" s="33">
        <f>Table6[[#This Row],[AllTotalAmount]]-Table6[[#This Row],[Column2]]</f>
        <v>63788551</v>
      </c>
    </row>
    <row r="112" spans="1:11" ht="23.1" customHeight="1">
      <c r="A112" s="33" t="s">
        <v>213</v>
      </c>
      <c r="B112" s="33">
        <v>0</v>
      </c>
      <c r="C112" s="33">
        <v>0</v>
      </c>
      <c r="D112" s="33">
        <f>Table6[[#This Row],[PeriodTotalCost]]*(-1)</f>
        <v>0</v>
      </c>
      <c r="E112" s="33">
        <v>0</v>
      </c>
      <c r="F112" s="33">
        <f>Table6[[#This Row],[PeriodTotalAmount]]-Table6[[#This Row],[Column1]]</f>
        <v>0</v>
      </c>
      <c r="G112" s="33">
        <v>7919</v>
      </c>
      <c r="H112" s="33">
        <v>346485739</v>
      </c>
      <c r="I112" s="33">
        <f>Table6[[#This Row],[AllTotalCost]]*(-1)</f>
        <v>347963915</v>
      </c>
      <c r="J112" s="33">
        <v>-347963915</v>
      </c>
      <c r="K112" s="33">
        <f>Table6[[#This Row],[AllTotalAmount]]-Table6[[#This Row],[Column2]]</f>
        <v>-1478176</v>
      </c>
    </row>
    <row r="113" spans="1:11" ht="23.1" customHeight="1">
      <c r="A113" s="33" t="s">
        <v>316</v>
      </c>
      <c r="B113" s="33">
        <v>0</v>
      </c>
      <c r="C113" s="33">
        <v>0</v>
      </c>
      <c r="D113" s="33">
        <f>Table6[[#This Row],[PeriodTotalCost]]*(-1)</f>
        <v>0</v>
      </c>
      <c r="E113" s="33">
        <v>0</v>
      </c>
      <c r="F113" s="33">
        <f>Table6[[#This Row],[PeriodTotalAmount]]-Table6[[#This Row],[Column1]]</f>
        <v>0</v>
      </c>
      <c r="G113" s="33">
        <v>74169</v>
      </c>
      <c r="H113" s="33">
        <v>926946339</v>
      </c>
      <c r="I113" s="33">
        <f>Table6[[#This Row],[AllTotalCost]]*(-1)</f>
        <v>762568533</v>
      </c>
      <c r="J113" s="33">
        <v>-762568533</v>
      </c>
      <c r="K113" s="33">
        <f>Table6[[#This Row],[AllTotalAmount]]-Table6[[#This Row],[Column2]]</f>
        <v>164377806</v>
      </c>
    </row>
    <row r="114" spans="1:11" ht="23.1" customHeight="1">
      <c r="A114" s="33" t="s">
        <v>317</v>
      </c>
      <c r="B114" s="33">
        <v>0</v>
      </c>
      <c r="C114" s="33">
        <v>0</v>
      </c>
      <c r="D114" s="33">
        <f>Table6[[#This Row],[PeriodTotalCost]]*(-1)</f>
        <v>0</v>
      </c>
      <c r="E114" s="33">
        <v>0</v>
      </c>
      <c r="F114" s="33">
        <f>Table6[[#This Row],[PeriodTotalAmount]]-Table6[[#This Row],[Column1]]</f>
        <v>0</v>
      </c>
      <c r="G114" s="33">
        <v>10000</v>
      </c>
      <c r="H114" s="33">
        <v>40968841</v>
      </c>
      <c r="I114" s="33">
        <f>Table6[[#This Row],[AllTotalCost]]*(-1)</f>
        <v>39013938</v>
      </c>
      <c r="J114" s="33">
        <v>-39013938</v>
      </c>
      <c r="K114" s="33">
        <f>Table6[[#This Row],[AllTotalAmount]]-Table6[[#This Row],[Column2]]</f>
        <v>1954903</v>
      </c>
    </row>
    <row r="115" spans="1:11" ht="23.1" customHeight="1" thickBot="1">
      <c r="A115" s="33" t="s">
        <v>101</v>
      </c>
      <c r="B115" s="33"/>
      <c r="C115" s="41">
        <f>SUM(C8:C114)</f>
        <v>10525337293347</v>
      </c>
      <c r="D115" s="41">
        <f>SUM(D8:D114)</f>
        <v>10774872084510</v>
      </c>
      <c r="E115" s="33">
        <f>SUM(E8:E114)</f>
        <v>-10774872084510</v>
      </c>
      <c r="F115" s="41">
        <f>SUM(F8:F114)</f>
        <v>-249534791163</v>
      </c>
      <c r="G115" s="33"/>
      <c r="H115" s="41">
        <f>SUM(H8:H114)</f>
        <v>41615441917094</v>
      </c>
      <c r="I115" s="41">
        <f>SUM(I8:I114)</f>
        <v>40856240169383</v>
      </c>
      <c r="J115" s="33"/>
      <c r="K115" s="41">
        <f>SUM(K8:K114)</f>
        <v>759201747711</v>
      </c>
    </row>
    <row r="116" spans="1:11" ht="23.25" thickTop="1">
      <c r="A116" s="48"/>
      <c r="B116" s="48"/>
      <c r="C116" s="48"/>
      <c r="D116" s="49"/>
      <c r="E116" s="48"/>
      <c r="F116" s="48"/>
      <c r="G116" s="48"/>
      <c r="H116" s="48"/>
      <c r="I116" s="49"/>
      <c r="J116" s="48"/>
      <c r="K116" s="48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4" orientation="landscape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rightToLeft="1" view="pageBreakPreview" topLeftCell="A92" zoomScale="106" zoomScaleNormal="100" zoomScaleSheetLayoutView="106" workbookViewId="0">
      <selection activeCell="A105" sqref="A105:XFD105"/>
    </sheetView>
  </sheetViews>
  <sheetFormatPr defaultRowHeight="22.5"/>
  <cols>
    <col min="1" max="1" width="32.42578125" style="53" bestFit="1" customWidth="1"/>
    <col min="2" max="2" width="12" style="53" bestFit="1" customWidth="1"/>
    <col min="3" max="3" width="18.140625" style="53" bestFit="1" customWidth="1"/>
    <col min="4" max="4" width="17.28515625" style="53" customWidth="1"/>
    <col min="5" max="5" width="18.7109375" style="53" hidden="1" customWidth="1"/>
    <col min="6" max="6" width="29.140625" style="53" bestFit="1" customWidth="1"/>
    <col min="7" max="7" width="12.85546875" style="53" bestFit="1" customWidth="1"/>
    <col min="8" max="8" width="18.140625" style="53" bestFit="1" customWidth="1"/>
    <col min="9" max="9" width="17.28515625" style="53" customWidth="1"/>
    <col min="10" max="10" width="18.7109375" style="53" hidden="1" customWidth="1"/>
    <col min="11" max="11" width="29.140625" style="53" bestFit="1" customWidth="1"/>
    <col min="12" max="12" width="9.140625" style="52" customWidth="1"/>
    <col min="13" max="16" width="9.140625" style="52"/>
    <col min="17" max="17" width="22.7109375" style="52" customWidth="1"/>
    <col min="18" max="16384" width="9.140625" style="52"/>
  </cols>
  <sheetData>
    <row r="1" spans="1:11" ht="25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5.5">
      <c r="A2" s="119" t="s">
        <v>260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5.5">
      <c r="A3" s="119" t="s">
        <v>261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25.5">
      <c r="A4" s="118" t="s">
        <v>393</v>
      </c>
      <c r="B4" s="118"/>
      <c r="C4" s="118"/>
      <c r="D4" s="118"/>
      <c r="E4" s="118"/>
    </row>
    <row r="5" spans="1:11" ht="16.5" customHeight="1">
      <c r="B5" s="127" t="s">
        <v>406</v>
      </c>
      <c r="C5" s="127"/>
      <c r="D5" s="127"/>
      <c r="E5" s="127"/>
      <c r="F5" s="127"/>
      <c r="G5" s="121" t="s">
        <v>263</v>
      </c>
      <c r="H5" s="121"/>
      <c r="I5" s="121"/>
      <c r="J5" s="121"/>
      <c r="K5" s="121"/>
    </row>
    <row r="6" spans="1:11" ht="48" customHeight="1" thickBot="1">
      <c r="A6" s="38" t="s">
        <v>319</v>
      </c>
      <c r="B6" s="39" t="s">
        <v>107</v>
      </c>
      <c r="C6" s="39" t="s">
        <v>109</v>
      </c>
      <c r="D6" s="39" t="s">
        <v>321</v>
      </c>
      <c r="E6" s="39" t="s">
        <v>321</v>
      </c>
      <c r="F6" s="54" t="s">
        <v>394</v>
      </c>
      <c r="G6" s="39" t="s">
        <v>107</v>
      </c>
      <c r="H6" s="39" t="s">
        <v>109</v>
      </c>
      <c r="I6" s="39" t="s">
        <v>321</v>
      </c>
      <c r="J6" s="39" t="s">
        <v>321</v>
      </c>
      <c r="K6" s="54" t="s">
        <v>394</v>
      </c>
    </row>
    <row r="7" spans="1:11" ht="22.5" hidden="1" customHeight="1">
      <c r="A7" s="55" t="s">
        <v>116</v>
      </c>
      <c r="B7" s="33" t="s">
        <v>323</v>
      </c>
      <c r="C7" s="33" t="s">
        <v>395</v>
      </c>
      <c r="D7" s="33" t="s">
        <v>404</v>
      </c>
      <c r="E7" s="33" t="s">
        <v>396</v>
      </c>
      <c r="F7" s="33" t="s">
        <v>268</v>
      </c>
      <c r="G7" s="33" t="s">
        <v>124</v>
      </c>
      <c r="H7" s="33" t="s">
        <v>127</v>
      </c>
      <c r="I7" s="33" t="s">
        <v>405</v>
      </c>
      <c r="J7" s="33" t="s">
        <v>397</v>
      </c>
      <c r="K7" s="33" t="s">
        <v>272</v>
      </c>
    </row>
    <row r="8" spans="1:11" ht="23.1" customHeight="1">
      <c r="A8" s="55" t="s">
        <v>129</v>
      </c>
      <c r="B8" s="33">
        <v>1487212</v>
      </c>
      <c r="C8" s="33">
        <v>18263966578</v>
      </c>
      <c r="D8" s="33">
        <f>Table7[[#This Row],[PeriodBookValue]]*(-1)</f>
        <v>18283052826</v>
      </c>
      <c r="E8" s="33">
        <v>-18283052826</v>
      </c>
      <c r="F8" s="33">
        <f>Table7[[#This Row],[PeriodTotalValue]]-Table7[[#This Row],[Column1]]</f>
        <v>-19086248</v>
      </c>
      <c r="G8" s="33">
        <v>1487212</v>
      </c>
      <c r="H8" s="33">
        <v>18263966578</v>
      </c>
      <c r="I8" s="33">
        <f>Table7[[#This Row],[CurrentBookValue]]*(-1)</f>
        <v>17966370928</v>
      </c>
      <c r="J8" s="33">
        <v>-17966370928</v>
      </c>
      <c r="K8" s="33">
        <f>Table7[[#This Row],[CurrentTotalValue]]-Table7[[#This Row],[Column2]]</f>
        <v>297595650</v>
      </c>
    </row>
    <row r="9" spans="1:11" ht="23.1" customHeight="1">
      <c r="A9" s="55" t="s">
        <v>130</v>
      </c>
      <c r="B9" s="33">
        <v>1541659</v>
      </c>
      <c r="C9" s="33">
        <v>152644187974</v>
      </c>
      <c r="D9" s="33">
        <f>Table7[[#This Row],[PeriodBookValue]]*(-1)</f>
        <v>149411367208</v>
      </c>
      <c r="E9" s="33">
        <v>-149411367208</v>
      </c>
      <c r="F9" s="33">
        <f>Table7[[#This Row],[PeriodTotalValue]]-Table7[[#This Row],[Column1]]</f>
        <v>3232820766</v>
      </c>
      <c r="G9" s="33">
        <v>1541659</v>
      </c>
      <c r="H9" s="33">
        <v>152644187974</v>
      </c>
      <c r="I9" s="33">
        <f>Table7[[#This Row],[CurrentBookValue]]*(-1)</f>
        <v>156306023470</v>
      </c>
      <c r="J9" s="33">
        <v>-156306023470</v>
      </c>
      <c r="K9" s="33">
        <f>Table7[[#This Row],[CurrentTotalValue]]-Table7[[#This Row],[Column2]]</f>
        <v>-3661835496</v>
      </c>
    </row>
    <row r="10" spans="1:11" ht="23.1" customHeight="1">
      <c r="A10" s="55" t="s">
        <v>131</v>
      </c>
      <c r="B10" s="33">
        <v>6272090</v>
      </c>
      <c r="C10" s="33">
        <v>333985552089</v>
      </c>
      <c r="D10" s="33">
        <f>Table7[[#This Row],[PeriodBookValue]]*(-1)</f>
        <v>354486609985</v>
      </c>
      <c r="E10" s="33">
        <v>-354486609985</v>
      </c>
      <c r="F10" s="33">
        <f>Table7[[#This Row],[PeriodTotalValue]]-Table7[[#This Row],[Column1]]</f>
        <v>-20501057896</v>
      </c>
      <c r="G10" s="33">
        <v>6272090</v>
      </c>
      <c r="H10" s="33">
        <v>333985552089</v>
      </c>
      <c r="I10" s="33">
        <f>Table7[[#This Row],[CurrentBookValue]]*(-1)</f>
        <v>409130686096</v>
      </c>
      <c r="J10" s="33">
        <v>-409130686096</v>
      </c>
      <c r="K10" s="33">
        <f>Table7[[#This Row],[CurrentTotalValue]]-Table7[[#This Row],[Column2]]</f>
        <v>-75145134007</v>
      </c>
    </row>
    <row r="11" spans="1:11" ht="23.1" customHeight="1">
      <c r="A11" s="55" t="s">
        <v>132</v>
      </c>
      <c r="B11" s="33">
        <v>6147087</v>
      </c>
      <c r="C11" s="33">
        <v>219853462082</v>
      </c>
      <c r="D11" s="33">
        <f>Table7[[#This Row],[PeriodBookValue]]*(-1)</f>
        <v>236945599754</v>
      </c>
      <c r="E11" s="33">
        <v>-236945599754</v>
      </c>
      <c r="F11" s="33">
        <f>Table7[[#This Row],[PeriodTotalValue]]-Table7[[#This Row],[Column1]]</f>
        <v>-17092137672</v>
      </c>
      <c r="G11" s="33">
        <v>6147087</v>
      </c>
      <c r="H11" s="33">
        <v>219853462082</v>
      </c>
      <c r="I11" s="33">
        <f>Table7[[#This Row],[CurrentBookValue]]*(-1)</f>
        <v>263865355306</v>
      </c>
      <c r="J11" s="33">
        <v>-263865355306</v>
      </c>
      <c r="K11" s="33">
        <f>Table7[[#This Row],[CurrentTotalValue]]-Table7[[#This Row],[Column2]]</f>
        <v>-44011893224</v>
      </c>
    </row>
    <row r="12" spans="1:11" ht="23.1" customHeight="1">
      <c r="A12" s="55" t="s">
        <v>133</v>
      </c>
      <c r="B12" s="33">
        <v>5025946</v>
      </c>
      <c r="C12" s="33">
        <v>229754159853</v>
      </c>
      <c r="D12" s="33">
        <f>Table7[[#This Row],[PeriodBookValue]]*(-1)</f>
        <v>278830680919</v>
      </c>
      <c r="E12" s="33">
        <v>-278830680919</v>
      </c>
      <c r="F12" s="33">
        <f>Table7[[#This Row],[PeriodTotalValue]]-Table7[[#This Row],[Column1]]</f>
        <v>-49076521066</v>
      </c>
      <c r="G12" s="33">
        <v>5025946</v>
      </c>
      <c r="H12" s="33">
        <v>229754159853</v>
      </c>
      <c r="I12" s="33">
        <f>Table7[[#This Row],[CurrentBookValue]]*(-1)</f>
        <v>312671123184</v>
      </c>
      <c r="J12" s="33">
        <v>-312671123184</v>
      </c>
      <c r="K12" s="33">
        <f>Table7[[#This Row],[CurrentTotalValue]]-Table7[[#This Row],[Column2]]</f>
        <v>-82916963331</v>
      </c>
    </row>
    <row r="13" spans="1:11" ht="23.1" customHeight="1">
      <c r="A13" s="55" t="s">
        <v>134</v>
      </c>
      <c r="B13" s="33">
        <v>1926950</v>
      </c>
      <c r="C13" s="33">
        <v>192444869407</v>
      </c>
      <c r="D13" s="33">
        <f>Table7[[#This Row],[PeriodBookValue]]*(-1)</f>
        <v>191129062807</v>
      </c>
      <c r="E13" s="33">
        <v>-191129062807</v>
      </c>
      <c r="F13" s="33">
        <f>Table7[[#This Row],[PeriodTotalValue]]-Table7[[#This Row],[Column1]]</f>
        <v>1315806600</v>
      </c>
      <c r="G13" s="33">
        <v>1926950</v>
      </c>
      <c r="H13" s="33">
        <v>192444869407</v>
      </c>
      <c r="I13" s="33">
        <f>Table7[[#This Row],[CurrentBookValue]]*(-1)</f>
        <v>289104593847</v>
      </c>
      <c r="J13" s="33">
        <v>-289104593847</v>
      </c>
      <c r="K13" s="33">
        <f>Table7[[#This Row],[CurrentTotalValue]]-Table7[[#This Row],[Column2]]</f>
        <v>-96659724440</v>
      </c>
    </row>
    <row r="14" spans="1:11" ht="23.1" customHeight="1">
      <c r="A14" s="55" t="s">
        <v>135</v>
      </c>
      <c r="B14" s="33">
        <v>1085081</v>
      </c>
      <c r="C14" s="33">
        <v>33811360596</v>
      </c>
      <c r="D14" s="33">
        <f>Table7[[#This Row],[PeriodBookValue]]*(-1)</f>
        <v>30430856931</v>
      </c>
      <c r="E14" s="33">
        <v>-30430856931</v>
      </c>
      <c r="F14" s="33">
        <f>Table7[[#This Row],[PeriodTotalValue]]-Table7[[#This Row],[Column1]]</f>
        <v>3380503665</v>
      </c>
      <c r="G14" s="33">
        <v>1085081</v>
      </c>
      <c r="H14" s="33">
        <v>33811360596</v>
      </c>
      <c r="I14" s="33">
        <f>Table7[[#This Row],[CurrentBookValue]]*(-1)</f>
        <v>31242779245</v>
      </c>
      <c r="J14" s="33">
        <v>-31242779245</v>
      </c>
      <c r="K14" s="33">
        <f>Table7[[#This Row],[CurrentTotalValue]]-Table7[[#This Row],[Column2]]</f>
        <v>2568581351</v>
      </c>
    </row>
    <row r="15" spans="1:11" ht="23.1" customHeight="1">
      <c r="A15" s="55" t="s">
        <v>136</v>
      </c>
      <c r="B15" s="33">
        <v>185000</v>
      </c>
      <c r="C15" s="33">
        <v>48381671176</v>
      </c>
      <c r="D15" s="33">
        <f>Table7[[#This Row],[PeriodBookValue]]*(-1)</f>
        <v>49094020204</v>
      </c>
      <c r="E15" s="33">
        <v>-49094020204</v>
      </c>
      <c r="F15" s="33">
        <f>Table7[[#This Row],[PeriodTotalValue]]-Table7[[#This Row],[Column1]]</f>
        <v>-712349028</v>
      </c>
      <c r="G15" s="33">
        <v>185000</v>
      </c>
      <c r="H15" s="33">
        <v>48381671176</v>
      </c>
      <c r="I15" s="33">
        <f>Table7[[#This Row],[CurrentBookValue]]*(-1)</f>
        <v>49094020204</v>
      </c>
      <c r="J15" s="33">
        <v>-49094020204</v>
      </c>
      <c r="K15" s="33">
        <f>Table7[[#This Row],[CurrentTotalValue]]-Table7[[#This Row],[Column2]]</f>
        <v>-712349028</v>
      </c>
    </row>
    <row r="16" spans="1:11" ht="23.1" customHeight="1">
      <c r="A16" s="55" t="s">
        <v>137</v>
      </c>
      <c r="B16" s="33">
        <v>3684667</v>
      </c>
      <c r="C16" s="33">
        <v>76359706241</v>
      </c>
      <c r="D16" s="33">
        <f>Table7[[#This Row],[PeriodBookValue]]*(-1)</f>
        <v>79041371121</v>
      </c>
      <c r="E16" s="33">
        <v>-79041371121</v>
      </c>
      <c r="F16" s="33">
        <f>Table7[[#This Row],[PeriodTotalValue]]-Table7[[#This Row],[Column1]]</f>
        <v>-2681664880</v>
      </c>
      <c r="G16" s="33">
        <v>3684667</v>
      </c>
      <c r="H16" s="33">
        <v>76359706241</v>
      </c>
      <c r="I16" s="33">
        <f>Table7[[#This Row],[CurrentBookValue]]*(-1)</f>
        <v>79041371121</v>
      </c>
      <c r="J16" s="33">
        <v>-79041371121</v>
      </c>
      <c r="K16" s="33">
        <f>Table7[[#This Row],[CurrentTotalValue]]-Table7[[#This Row],[Column2]]</f>
        <v>-2681664880</v>
      </c>
    </row>
    <row r="17" spans="1:11" ht="23.1" customHeight="1">
      <c r="A17" s="55" t="s">
        <v>138</v>
      </c>
      <c r="B17" s="33">
        <v>4611703</v>
      </c>
      <c r="C17" s="33">
        <v>257431016870</v>
      </c>
      <c r="D17" s="33">
        <f>Table7[[#This Row],[PeriodBookValue]]*(-1)</f>
        <v>275963990774</v>
      </c>
      <c r="E17" s="33">
        <v>-275963990774</v>
      </c>
      <c r="F17" s="33">
        <f>Table7[[#This Row],[PeriodTotalValue]]-Table7[[#This Row],[Column1]]</f>
        <v>-18532973904</v>
      </c>
      <c r="G17" s="33">
        <v>4611703</v>
      </c>
      <c r="H17" s="33">
        <v>257431016870</v>
      </c>
      <c r="I17" s="33">
        <f>Table7[[#This Row],[CurrentBookValue]]*(-1)</f>
        <v>281108913331</v>
      </c>
      <c r="J17" s="33">
        <v>-281108913331</v>
      </c>
      <c r="K17" s="33">
        <f>Table7[[#This Row],[CurrentTotalValue]]-Table7[[#This Row],[Column2]]</f>
        <v>-23677896461</v>
      </c>
    </row>
    <row r="18" spans="1:11" ht="23.1" customHeight="1">
      <c r="A18" s="55" t="s">
        <v>139</v>
      </c>
      <c r="B18" s="33">
        <v>7109231</v>
      </c>
      <c r="C18" s="33">
        <v>452808539974</v>
      </c>
      <c r="D18" s="33">
        <f>Table7[[#This Row],[PeriodBookValue]]*(-1)</f>
        <v>461077185234</v>
      </c>
      <c r="E18" s="33">
        <v>-461077185234</v>
      </c>
      <c r="F18" s="33">
        <f>Table7[[#This Row],[PeriodTotalValue]]-Table7[[#This Row],[Column1]]</f>
        <v>-8268645260</v>
      </c>
      <c r="G18" s="33">
        <v>7109231</v>
      </c>
      <c r="H18" s="33">
        <v>452808539974</v>
      </c>
      <c r="I18" s="33">
        <f>Table7[[#This Row],[CurrentBookValue]]*(-1)</f>
        <v>459088100843</v>
      </c>
      <c r="J18" s="33">
        <v>-459088100843</v>
      </c>
      <c r="K18" s="33">
        <f>Table7[[#This Row],[CurrentTotalValue]]-Table7[[#This Row],[Column2]]</f>
        <v>-6279560869</v>
      </c>
    </row>
    <row r="19" spans="1:11" ht="23.1" customHeight="1">
      <c r="A19" s="55" t="s">
        <v>140</v>
      </c>
      <c r="B19" s="33">
        <v>3662039</v>
      </c>
      <c r="C19" s="33">
        <v>320354695950</v>
      </c>
      <c r="D19" s="33">
        <f>Table7[[#This Row],[PeriodBookValue]]*(-1)</f>
        <v>321185312133</v>
      </c>
      <c r="E19" s="33">
        <v>-321185312133</v>
      </c>
      <c r="F19" s="33">
        <f>Table7[[#This Row],[PeriodTotalValue]]-Table7[[#This Row],[Column1]]</f>
        <v>-830616183</v>
      </c>
      <c r="G19" s="33">
        <v>3662039</v>
      </c>
      <c r="H19" s="33">
        <v>320354695950</v>
      </c>
      <c r="I19" s="33">
        <f>Table7[[#This Row],[CurrentBookValue]]*(-1)</f>
        <v>375241709679</v>
      </c>
      <c r="J19" s="33">
        <v>-375241709679</v>
      </c>
      <c r="K19" s="33">
        <f>Table7[[#This Row],[CurrentTotalValue]]-Table7[[#This Row],[Column2]]</f>
        <v>-54887013729</v>
      </c>
    </row>
    <row r="20" spans="1:11" ht="23.1" customHeight="1">
      <c r="A20" s="55" t="s">
        <v>141</v>
      </c>
      <c r="B20" s="33">
        <v>18243157</v>
      </c>
      <c r="C20" s="33">
        <v>151480423945</v>
      </c>
      <c r="D20" s="33">
        <f>Table7[[#This Row],[PeriodBookValue]]*(-1)</f>
        <v>162928449548</v>
      </c>
      <c r="E20" s="33">
        <v>-162928449548</v>
      </c>
      <c r="F20" s="33">
        <f>Table7[[#This Row],[PeriodTotalValue]]-Table7[[#This Row],[Column1]]</f>
        <v>-11448025603</v>
      </c>
      <c r="G20" s="33">
        <v>18243157</v>
      </c>
      <c r="H20" s="33">
        <v>151480423945</v>
      </c>
      <c r="I20" s="33">
        <f>Table7[[#This Row],[CurrentBookValue]]*(-1)</f>
        <v>181780669484</v>
      </c>
      <c r="J20" s="33">
        <v>-181780669484</v>
      </c>
      <c r="K20" s="33">
        <f>Table7[[#This Row],[CurrentTotalValue]]-Table7[[#This Row],[Column2]]</f>
        <v>-30300245539</v>
      </c>
    </row>
    <row r="21" spans="1:11" ht="23.1" customHeight="1">
      <c r="A21" s="55" t="s">
        <v>142</v>
      </c>
      <c r="B21" s="33">
        <v>14247673</v>
      </c>
      <c r="C21" s="33">
        <v>276942791346</v>
      </c>
      <c r="D21" s="33">
        <f>Table7[[#This Row],[PeriodBookValue]]*(-1)</f>
        <v>210739585990</v>
      </c>
      <c r="E21" s="33">
        <v>-210739585990</v>
      </c>
      <c r="F21" s="33">
        <f>Table7[[#This Row],[PeriodTotalValue]]-Table7[[#This Row],[Column1]]</f>
        <v>66203205356</v>
      </c>
      <c r="G21" s="33">
        <v>14247673</v>
      </c>
      <c r="H21" s="33">
        <v>276942791346</v>
      </c>
      <c r="I21" s="33">
        <f>Table7[[#This Row],[CurrentBookValue]]*(-1)</f>
        <v>248373755759</v>
      </c>
      <c r="J21" s="33">
        <v>-248373755759</v>
      </c>
      <c r="K21" s="33">
        <f>Table7[[#This Row],[CurrentTotalValue]]-Table7[[#This Row],[Column2]]</f>
        <v>28569035587</v>
      </c>
    </row>
    <row r="22" spans="1:11" ht="23.1" customHeight="1">
      <c r="A22" s="55" t="s">
        <v>143</v>
      </c>
      <c r="B22" s="33">
        <v>2185232</v>
      </c>
      <c r="C22" s="33">
        <v>37618493895</v>
      </c>
      <c r="D22" s="33">
        <f>Table7[[#This Row],[PeriodBookValue]]*(-1)</f>
        <v>22913801070</v>
      </c>
      <c r="E22" s="33">
        <v>-22913801070</v>
      </c>
      <c r="F22" s="33">
        <f>Table7[[#This Row],[PeriodTotalValue]]-Table7[[#This Row],[Column1]]</f>
        <v>14704692825</v>
      </c>
      <c r="G22" s="33">
        <v>2185232</v>
      </c>
      <c r="H22" s="33">
        <v>37618493895</v>
      </c>
      <c r="I22" s="33">
        <f>Table7[[#This Row],[CurrentBookValue]]*(-1)</f>
        <v>35090684081</v>
      </c>
      <c r="J22" s="33">
        <v>-35090684081</v>
      </c>
      <c r="K22" s="33">
        <f>Table7[[#This Row],[CurrentTotalValue]]-Table7[[#This Row],[Column2]]</f>
        <v>2527809814</v>
      </c>
    </row>
    <row r="23" spans="1:11" ht="23.1" customHeight="1">
      <c r="A23" s="55" t="s">
        <v>144</v>
      </c>
      <c r="B23" s="33">
        <v>517259</v>
      </c>
      <c r="C23" s="33">
        <v>20773842669</v>
      </c>
      <c r="D23" s="33">
        <f>Table7[[#This Row],[PeriodBookValue]]*(-1)</f>
        <v>20234862437</v>
      </c>
      <c r="E23" s="33">
        <v>-20234862437</v>
      </c>
      <c r="F23" s="33">
        <f>Table7[[#This Row],[PeriodTotalValue]]-Table7[[#This Row],[Column1]]</f>
        <v>538980232</v>
      </c>
      <c r="G23" s="33">
        <v>517259</v>
      </c>
      <c r="H23" s="33">
        <v>20773842669</v>
      </c>
      <c r="I23" s="33">
        <f>Table7[[#This Row],[CurrentBookValue]]*(-1)</f>
        <v>19965698663</v>
      </c>
      <c r="J23" s="33">
        <v>-19965698663</v>
      </c>
      <c r="K23" s="33">
        <f>Table7[[#This Row],[CurrentTotalValue]]-Table7[[#This Row],[Column2]]</f>
        <v>808144006</v>
      </c>
    </row>
    <row r="24" spans="1:11" ht="23.1" customHeight="1">
      <c r="A24" s="55" t="s">
        <v>145</v>
      </c>
      <c r="B24" s="33">
        <v>491959</v>
      </c>
      <c r="C24" s="33">
        <v>39912733599</v>
      </c>
      <c r="D24" s="33">
        <f>Table7[[#This Row],[PeriodBookValue]]*(-1)</f>
        <v>40169680949</v>
      </c>
      <c r="E24" s="33">
        <v>-40169680949</v>
      </c>
      <c r="F24" s="33">
        <f>Table7[[#This Row],[PeriodTotalValue]]-Table7[[#This Row],[Column1]]</f>
        <v>-256947350</v>
      </c>
      <c r="G24" s="33">
        <v>491959</v>
      </c>
      <c r="H24" s="33">
        <v>39912733599</v>
      </c>
      <c r="I24" s="33">
        <f>Table7[[#This Row],[CurrentBookValue]]*(-1)</f>
        <v>40169680949</v>
      </c>
      <c r="J24" s="33">
        <v>-40169680949</v>
      </c>
      <c r="K24" s="33">
        <f>Table7[[#This Row],[CurrentTotalValue]]-Table7[[#This Row],[Column2]]</f>
        <v>-256947350</v>
      </c>
    </row>
    <row r="25" spans="1:11" ht="23.1" customHeight="1">
      <c r="A25" s="55" t="s">
        <v>146</v>
      </c>
      <c r="B25" s="33">
        <v>0</v>
      </c>
      <c r="C25" s="33">
        <v>0</v>
      </c>
      <c r="D25" s="33">
        <f>Table7[[#This Row],[PeriodBookValue]]*(-1)</f>
        <v>-136029371</v>
      </c>
      <c r="E25" s="33">
        <v>136029371</v>
      </c>
      <c r="F25" s="33">
        <f>Table7[[#This Row],[PeriodTotalValue]]-Table7[[#This Row],[Column1]]</f>
        <v>136029371</v>
      </c>
      <c r="G25" s="33">
        <v>0</v>
      </c>
      <c r="H25" s="33">
        <v>0</v>
      </c>
      <c r="I25" s="33">
        <f>Table7[[#This Row],[CurrentBookValue]]*(-1)</f>
        <v>0</v>
      </c>
      <c r="J25" s="33">
        <v>0</v>
      </c>
      <c r="K25" s="33">
        <f>Table7[[#This Row],[CurrentTotalValue]]-Table7[[#This Row],[Column2]]</f>
        <v>0</v>
      </c>
    </row>
    <row r="26" spans="1:11" ht="23.1" customHeight="1">
      <c r="A26" s="55" t="s">
        <v>147</v>
      </c>
      <c r="B26" s="33">
        <v>502789</v>
      </c>
      <c r="C26" s="33">
        <v>46034260542</v>
      </c>
      <c r="D26" s="33">
        <f>Table7[[#This Row],[PeriodBookValue]]*(-1)</f>
        <v>37189547516</v>
      </c>
      <c r="E26" s="33">
        <v>-37189547516</v>
      </c>
      <c r="F26" s="33">
        <f>Table7[[#This Row],[PeriodTotalValue]]-Table7[[#This Row],[Column1]]</f>
        <v>8844713026</v>
      </c>
      <c r="G26" s="33">
        <v>502789</v>
      </c>
      <c r="H26" s="33">
        <v>46034260542</v>
      </c>
      <c r="I26" s="33">
        <f>Table7[[#This Row],[CurrentBookValue]]*(-1)</f>
        <v>44660309056</v>
      </c>
      <c r="J26" s="33">
        <v>-44660309056</v>
      </c>
      <c r="K26" s="33">
        <f>Table7[[#This Row],[CurrentTotalValue]]-Table7[[#This Row],[Column2]]</f>
        <v>1373951486</v>
      </c>
    </row>
    <row r="27" spans="1:11" ht="23.1" customHeight="1">
      <c r="A27" s="55" t="s">
        <v>148</v>
      </c>
      <c r="B27" s="33">
        <v>860000</v>
      </c>
      <c r="C27" s="33">
        <v>24724945254</v>
      </c>
      <c r="D27" s="33">
        <f>Table7[[#This Row],[PeriodBookValue]]*(-1)</f>
        <v>22982652264</v>
      </c>
      <c r="E27" s="33">
        <v>-22982652264</v>
      </c>
      <c r="F27" s="33">
        <f>Table7[[#This Row],[PeriodTotalValue]]-Table7[[#This Row],[Column1]]</f>
        <v>1742292990</v>
      </c>
      <c r="G27" s="33">
        <v>860000</v>
      </c>
      <c r="H27" s="33">
        <v>24724945254</v>
      </c>
      <c r="I27" s="33">
        <f>Table7[[#This Row],[CurrentBookValue]]*(-1)</f>
        <v>24667955704</v>
      </c>
      <c r="J27" s="33">
        <v>-24667955704</v>
      </c>
      <c r="K27" s="33">
        <f>Table7[[#This Row],[CurrentTotalValue]]-Table7[[#This Row],[Column2]]</f>
        <v>56989550</v>
      </c>
    </row>
    <row r="28" spans="1:11" ht="23.1" customHeight="1">
      <c r="A28" s="55" t="s">
        <v>149</v>
      </c>
      <c r="B28" s="33">
        <v>677519677</v>
      </c>
      <c r="C28" s="33">
        <v>8273123668841</v>
      </c>
      <c r="D28" s="33">
        <f>Table7[[#This Row],[PeriodBookValue]]*(-1)</f>
        <v>7015239987333</v>
      </c>
      <c r="E28" s="33">
        <v>-7015239987333</v>
      </c>
      <c r="F28" s="33">
        <f>Table7[[#This Row],[PeriodTotalValue]]-Table7[[#This Row],[Column1]]</f>
        <v>1257883681508</v>
      </c>
      <c r="G28" s="33">
        <v>677519677</v>
      </c>
      <c r="H28" s="33">
        <v>8273123668841</v>
      </c>
      <c r="I28" s="33">
        <f>Table7[[#This Row],[CurrentBookValue]]*(-1)</f>
        <v>9684413736962</v>
      </c>
      <c r="J28" s="33">
        <v>-9684413736962</v>
      </c>
      <c r="K28" s="33">
        <f>Table7[[#This Row],[CurrentTotalValue]]-Table7[[#This Row],[Column2]]</f>
        <v>-1411290068121</v>
      </c>
    </row>
    <row r="29" spans="1:11" ht="23.1" customHeight="1">
      <c r="A29" s="55" t="s">
        <v>150</v>
      </c>
      <c r="B29" s="33">
        <v>12966949</v>
      </c>
      <c r="C29" s="33">
        <v>364500749668</v>
      </c>
      <c r="D29" s="33">
        <f>Table7[[#This Row],[PeriodBookValue]]*(-1)</f>
        <v>297246843468</v>
      </c>
      <c r="E29" s="33">
        <v>-297246843468</v>
      </c>
      <c r="F29" s="33">
        <f>Table7[[#This Row],[PeriodTotalValue]]-Table7[[#This Row],[Column1]]</f>
        <v>67253906200</v>
      </c>
      <c r="G29" s="33">
        <v>12966949</v>
      </c>
      <c r="H29" s="33">
        <v>364500749668</v>
      </c>
      <c r="I29" s="33">
        <f>Table7[[#This Row],[CurrentBookValue]]*(-1)</f>
        <v>430469333206</v>
      </c>
      <c r="J29" s="33">
        <v>-430469333206</v>
      </c>
      <c r="K29" s="33">
        <f>Table7[[#This Row],[CurrentTotalValue]]-Table7[[#This Row],[Column2]]</f>
        <v>-65968583538</v>
      </c>
    </row>
    <row r="30" spans="1:11" ht="23.1" customHeight="1">
      <c r="A30" s="55" t="s">
        <v>151</v>
      </c>
      <c r="B30" s="33">
        <v>452874736</v>
      </c>
      <c r="C30" s="33">
        <v>4631663179991</v>
      </c>
      <c r="D30" s="33">
        <f>Table7[[#This Row],[PeriodBookValue]]*(-1)</f>
        <v>4092144014582</v>
      </c>
      <c r="E30" s="33">
        <v>-4092144014582</v>
      </c>
      <c r="F30" s="33">
        <f>Table7[[#This Row],[PeriodTotalValue]]-Table7[[#This Row],[Column1]]</f>
        <v>539519165409</v>
      </c>
      <c r="G30" s="33">
        <v>452874736</v>
      </c>
      <c r="H30" s="33">
        <v>4631663179991</v>
      </c>
      <c r="I30" s="33">
        <f>Table7[[#This Row],[CurrentBookValue]]*(-1)</f>
        <v>4714423593960</v>
      </c>
      <c r="J30" s="33">
        <v>-4714423593960</v>
      </c>
      <c r="K30" s="33">
        <f>Table7[[#This Row],[CurrentTotalValue]]-Table7[[#This Row],[Column2]]</f>
        <v>-82760413969</v>
      </c>
    </row>
    <row r="31" spans="1:11" ht="23.1" customHeight="1">
      <c r="A31" s="55" t="s">
        <v>152</v>
      </c>
      <c r="B31" s="33">
        <v>267629816</v>
      </c>
      <c r="C31" s="33">
        <v>2023492483246</v>
      </c>
      <c r="D31" s="33">
        <f>Table7[[#This Row],[PeriodBookValue]]*(-1)</f>
        <v>1805616242083</v>
      </c>
      <c r="E31" s="33">
        <v>-1805616242083</v>
      </c>
      <c r="F31" s="33">
        <f>Table7[[#This Row],[PeriodTotalValue]]-Table7[[#This Row],[Column1]]</f>
        <v>217876241163</v>
      </c>
      <c r="G31" s="33">
        <v>267629816</v>
      </c>
      <c r="H31" s="33">
        <v>2023492483246</v>
      </c>
      <c r="I31" s="33">
        <f>Table7[[#This Row],[CurrentBookValue]]*(-1)</f>
        <v>2183027774480</v>
      </c>
      <c r="J31" s="33">
        <v>-2183027774480</v>
      </c>
      <c r="K31" s="33">
        <f>Table7[[#This Row],[CurrentTotalValue]]-Table7[[#This Row],[Column2]]</f>
        <v>-159535291234</v>
      </c>
    </row>
    <row r="32" spans="1:11" ht="23.1" customHeight="1">
      <c r="A32" s="55" t="s">
        <v>153</v>
      </c>
      <c r="B32" s="33">
        <v>8586604</v>
      </c>
      <c r="C32" s="33">
        <v>274069576090</v>
      </c>
      <c r="D32" s="33">
        <f>Table7[[#This Row],[PeriodBookValue]]*(-1)</f>
        <v>275714839377</v>
      </c>
      <c r="E32" s="33">
        <v>-275714839377</v>
      </c>
      <c r="F32" s="33">
        <f>Table7[[#This Row],[PeriodTotalValue]]-Table7[[#This Row],[Column1]]</f>
        <v>-1645263287</v>
      </c>
      <c r="G32" s="33">
        <v>8586604</v>
      </c>
      <c r="H32" s="33">
        <v>274069576090</v>
      </c>
      <c r="I32" s="33">
        <f>Table7[[#This Row],[CurrentBookValue]]*(-1)</f>
        <v>264753173798</v>
      </c>
      <c r="J32" s="33">
        <v>-264753173798</v>
      </c>
      <c r="K32" s="33">
        <f>Table7[[#This Row],[CurrentTotalValue]]-Table7[[#This Row],[Column2]]</f>
        <v>9316402292</v>
      </c>
    </row>
    <row r="33" spans="1:11" ht="23.1" customHeight="1">
      <c r="A33" s="55" t="s">
        <v>154</v>
      </c>
      <c r="B33" s="33">
        <v>448881</v>
      </c>
      <c r="C33" s="33">
        <v>24974319714</v>
      </c>
      <c r="D33" s="33">
        <f>Table7[[#This Row],[PeriodBookValue]]*(-1)</f>
        <v>16856110050</v>
      </c>
      <c r="E33" s="33">
        <v>-16856110050</v>
      </c>
      <c r="F33" s="33">
        <f>Table7[[#This Row],[PeriodTotalValue]]-Table7[[#This Row],[Column1]]</f>
        <v>8118209664</v>
      </c>
      <c r="G33" s="33">
        <v>448881</v>
      </c>
      <c r="H33" s="33">
        <v>24974319714</v>
      </c>
      <c r="I33" s="33">
        <f>Table7[[#This Row],[CurrentBookValue]]*(-1)</f>
        <v>25016368072</v>
      </c>
      <c r="J33" s="33">
        <v>-25016368072</v>
      </c>
      <c r="K33" s="33">
        <f>Table7[[#This Row],[CurrentTotalValue]]-Table7[[#This Row],[Column2]]</f>
        <v>-42048358</v>
      </c>
    </row>
    <row r="34" spans="1:11" ht="23.1" customHeight="1">
      <c r="A34" s="55" t="s">
        <v>155</v>
      </c>
      <c r="B34" s="33">
        <v>3547169</v>
      </c>
      <c r="C34" s="33">
        <v>161810940479</v>
      </c>
      <c r="D34" s="33">
        <f>Table7[[#This Row],[PeriodBookValue]]*(-1)</f>
        <v>176490742717</v>
      </c>
      <c r="E34" s="33">
        <v>-176490742717</v>
      </c>
      <c r="F34" s="33">
        <f>Table7[[#This Row],[PeriodTotalValue]]-Table7[[#This Row],[Column1]]</f>
        <v>-14679802238</v>
      </c>
      <c r="G34" s="33">
        <v>3547169</v>
      </c>
      <c r="H34" s="33">
        <v>161810940479</v>
      </c>
      <c r="I34" s="33">
        <f>Table7[[#This Row],[CurrentBookValue]]*(-1)</f>
        <v>168414423049</v>
      </c>
      <c r="J34" s="33">
        <v>-168414423049</v>
      </c>
      <c r="K34" s="33">
        <f>Table7[[#This Row],[CurrentTotalValue]]-Table7[[#This Row],[Column2]]</f>
        <v>-6603482570</v>
      </c>
    </row>
    <row r="35" spans="1:11" ht="23.1" customHeight="1">
      <c r="A35" s="55" t="s">
        <v>156</v>
      </c>
      <c r="B35" s="33">
        <v>3811629</v>
      </c>
      <c r="C35" s="33">
        <v>177054942263</v>
      </c>
      <c r="D35" s="33">
        <f>Table7[[#This Row],[PeriodBookValue]]*(-1)</f>
        <v>187875016493</v>
      </c>
      <c r="E35" s="33">
        <v>-187875016493</v>
      </c>
      <c r="F35" s="33">
        <f>Table7[[#This Row],[PeriodTotalValue]]-Table7[[#This Row],[Column1]]</f>
        <v>-10820074230</v>
      </c>
      <c r="G35" s="33">
        <v>3811629</v>
      </c>
      <c r="H35" s="33">
        <v>177054942263</v>
      </c>
      <c r="I35" s="33">
        <f>Table7[[#This Row],[CurrentBookValue]]*(-1)</f>
        <v>197213561592</v>
      </c>
      <c r="J35" s="33">
        <v>-197213561592</v>
      </c>
      <c r="K35" s="33">
        <f>Table7[[#This Row],[CurrentTotalValue]]-Table7[[#This Row],[Column2]]</f>
        <v>-20158619329</v>
      </c>
    </row>
    <row r="36" spans="1:11" ht="23.1" customHeight="1">
      <c r="A36" s="55" t="s">
        <v>157</v>
      </c>
      <c r="B36" s="33">
        <v>7910538</v>
      </c>
      <c r="C36" s="33">
        <v>361382729004</v>
      </c>
      <c r="D36" s="33">
        <f>Table7[[#This Row],[PeriodBookValue]]*(-1)</f>
        <v>384018530792</v>
      </c>
      <c r="E36" s="33">
        <v>-384018530792</v>
      </c>
      <c r="F36" s="33">
        <f>Table7[[#This Row],[PeriodTotalValue]]-Table7[[#This Row],[Column1]]</f>
        <v>-22635801788</v>
      </c>
      <c r="G36" s="33">
        <v>7910538</v>
      </c>
      <c r="H36" s="33">
        <v>361382729004</v>
      </c>
      <c r="I36" s="33">
        <f>Table7[[#This Row],[CurrentBookValue]]*(-1)</f>
        <v>396874898386</v>
      </c>
      <c r="J36" s="33">
        <v>-396874898386</v>
      </c>
      <c r="K36" s="33">
        <f>Table7[[#This Row],[CurrentTotalValue]]-Table7[[#This Row],[Column2]]</f>
        <v>-35492169382</v>
      </c>
    </row>
    <row r="37" spans="1:11" ht="23.1" customHeight="1">
      <c r="A37" s="55" t="s">
        <v>158</v>
      </c>
      <c r="B37" s="33">
        <v>861706</v>
      </c>
      <c r="C37" s="33">
        <v>22435915950</v>
      </c>
      <c r="D37" s="33">
        <f>Table7[[#This Row],[PeriodBookValue]]*(-1)</f>
        <v>19041723794</v>
      </c>
      <c r="E37" s="33">
        <v>-19041723794</v>
      </c>
      <c r="F37" s="33">
        <f>Table7[[#This Row],[PeriodTotalValue]]-Table7[[#This Row],[Column1]]</f>
        <v>3394192156</v>
      </c>
      <c r="G37" s="33">
        <v>861706</v>
      </c>
      <c r="H37" s="33">
        <v>22435915950</v>
      </c>
      <c r="I37" s="33">
        <f>Table7[[#This Row],[CurrentBookValue]]*(-1)</f>
        <v>21370283208</v>
      </c>
      <c r="J37" s="33">
        <v>-21370283208</v>
      </c>
      <c r="K37" s="33">
        <f>Table7[[#This Row],[CurrentTotalValue]]-Table7[[#This Row],[Column2]]</f>
        <v>1065632742</v>
      </c>
    </row>
    <row r="38" spans="1:11" ht="23.1" customHeight="1">
      <c r="A38" s="55" t="s">
        <v>159</v>
      </c>
      <c r="B38" s="33">
        <v>92000000</v>
      </c>
      <c r="C38" s="33">
        <v>2266338681569</v>
      </c>
      <c r="D38" s="33">
        <f>Table7[[#This Row],[PeriodBookValue]]*(-1)</f>
        <v>2062106020620</v>
      </c>
      <c r="E38" s="33">
        <v>-2062106020620</v>
      </c>
      <c r="F38" s="33">
        <f>Table7[[#This Row],[PeriodTotalValue]]-Table7[[#This Row],[Column1]]</f>
        <v>204232660949</v>
      </c>
      <c r="G38" s="33">
        <v>92000000</v>
      </c>
      <c r="H38" s="33">
        <v>2266338681569</v>
      </c>
      <c r="I38" s="33">
        <f>Table7[[#This Row],[CurrentBookValue]]*(-1)</f>
        <v>2062106020620</v>
      </c>
      <c r="J38" s="33">
        <v>-2062106020620</v>
      </c>
      <c r="K38" s="33">
        <f>Table7[[#This Row],[CurrentTotalValue]]-Table7[[#This Row],[Column2]]</f>
        <v>204232660949</v>
      </c>
    </row>
    <row r="39" spans="1:11" ht="23.1" customHeight="1">
      <c r="A39" s="55" t="s">
        <v>160</v>
      </c>
      <c r="B39" s="33">
        <v>10515880</v>
      </c>
      <c r="C39" s="33">
        <v>392656974322</v>
      </c>
      <c r="D39" s="33">
        <f>Table7[[#This Row],[PeriodBookValue]]*(-1)</f>
        <v>373849071142</v>
      </c>
      <c r="E39" s="33">
        <v>-373849071142</v>
      </c>
      <c r="F39" s="33">
        <f>Table7[[#This Row],[PeriodTotalValue]]-Table7[[#This Row],[Column1]]</f>
        <v>18807903180</v>
      </c>
      <c r="G39" s="33">
        <v>10515880</v>
      </c>
      <c r="H39" s="33">
        <v>392656974322</v>
      </c>
      <c r="I39" s="33">
        <f>Table7[[#This Row],[CurrentBookValue]]*(-1)</f>
        <v>389364375442</v>
      </c>
      <c r="J39" s="33">
        <v>-389364375442</v>
      </c>
      <c r="K39" s="33">
        <f>Table7[[#This Row],[CurrentTotalValue]]-Table7[[#This Row],[Column2]]</f>
        <v>3292598880</v>
      </c>
    </row>
    <row r="40" spans="1:11" ht="23.1" customHeight="1">
      <c r="A40" s="55" t="s">
        <v>161</v>
      </c>
      <c r="B40" s="33">
        <v>12946307</v>
      </c>
      <c r="C40" s="33">
        <v>254099103225</v>
      </c>
      <c r="D40" s="33">
        <f>Table7[[#This Row],[PeriodBookValue]]*(-1)</f>
        <v>246850723670</v>
      </c>
      <c r="E40" s="33">
        <v>-246850723670</v>
      </c>
      <c r="F40" s="33">
        <f>Table7[[#This Row],[PeriodTotalValue]]-Table7[[#This Row],[Column1]]</f>
        <v>7248379555</v>
      </c>
      <c r="G40" s="33">
        <v>12946307</v>
      </c>
      <c r="H40" s="33">
        <v>254099103225</v>
      </c>
      <c r="I40" s="33">
        <f>Table7[[#This Row],[CurrentBookValue]]*(-1)</f>
        <v>254493401516</v>
      </c>
      <c r="J40" s="33">
        <v>-254493401516</v>
      </c>
      <c r="K40" s="33">
        <f>Table7[[#This Row],[CurrentTotalValue]]-Table7[[#This Row],[Column2]]</f>
        <v>-394298291</v>
      </c>
    </row>
    <row r="41" spans="1:11" ht="23.1" customHeight="1">
      <c r="A41" s="55" t="s">
        <v>162</v>
      </c>
      <c r="B41" s="33">
        <v>8770297</v>
      </c>
      <c r="C41" s="33">
        <v>346868324868</v>
      </c>
      <c r="D41" s="33">
        <f>Table7[[#This Row],[PeriodBookValue]]*(-1)</f>
        <v>277980455979</v>
      </c>
      <c r="E41" s="33">
        <v>-277980455979</v>
      </c>
      <c r="F41" s="33">
        <f>Table7[[#This Row],[PeriodTotalValue]]-Table7[[#This Row],[Column1]]</f>
        <v>68887868889</v>
      </c>
      <c r="G41" s="33">
        <v>8770297</v>
      </c>
      <c r="H41" s="33">
        <v>346868324868</v>
      </c>
      <c r="I41" s="33">
        <f>Table7[[#This Row],[CurrentBookValue]]*(-1)</f>
        <v>341315486614</v>
      </c>
      <c r="J41" s="33">
        <v>-341315486614</v>
      </c>
      <c r="K41" s="33">
        <f>Table7[[#This Row],[CurrentTotalValue]]-Table7[[#This Row],[Column2]]</f>
        <v>5552838254</v>
      </c>
    </row>
    <row r="42" spans="1:11" ht="23.1" customHeight="1">
      <c r="A42" s="55" t="s">
        <v>163</v>
      </c>
      <c r="B42" s="33">
        <v>3432352</v>
      </c>
      <c r="C42" s="33">
        <v>234947258682</v>
      </c>
      <c r="D42" s="33">
        <f>Table7[[#This Row],[PeriodBookValue]]*(-1)</f>
        <v>186819884915</v>
      </c>
      <c r="E42" s="33">
        <v>-186819884915</v>
      </c>
      <c r="F42" s="33">
        <f>Table7[[#This Row],[PeriodTotalValue]]-Table7[[#This Row],[Column1]]</f>
        <v>48127373767</v>
      </c>
      <c r="G42" s="33">
        <v>3432352</v>
      </c>
      <c r="H42" s="33">
        <v>234947258682</v>
      </c>
      <c r="I42" s="33">
        <f>Table7[[#This Row],[CurrentBookValue]]*(-1)</f>
        <v>219531761621</v>
      </c>
      <c r="J42" s="33">
        <v>-219531761621</v>
      </c>
      <c r="K42" s="33">
        <f>Table7[[#This Row],[CurrentTotalValue]]-Table7[[#This Row],[Column2]]</f>
        <v>15415497061</v>
      </c>
    </row>
    <row r="43" spans="1:11" ht="23.1" customHeight="1">
      <c r="A43" s="55" t="s">
        <v>164</v>
      </c>
      <c r="B43" s="33">
        <v>3386389</v>
      </c>
      <c r="C43" s="33">
        <v>141301763998</v>
      </c>
      <c r="D43" s="33">
        <f>Table7[[#This Row],[PeriodBookValue]]*(-1)</f>
        <v>123052464718</v>
      </c>
      <c r="E43" s="33">
        <v>-123052464718</v>
      </c>
      <c r="F43" s="33">
        <f>Table7[[#This Row],[PeriodTotalValue]]-Table7[[#This Row],[Column1]]</f>
        <v>18249299280</v>
      </c>
      <c r="G43" s="33">
        <v>3386389</v>
      </c>
      <c r="H43" s="33">
        <v>141301763998</v>
      </c>
      <c r="I43" s="33">
        <f>Table7[[#This Row],[CurrentBookValue]]*(-1)</f>
        <v>152199727087</v>
      </c>
      <c r="J43" s="33">
        <v>-152199727087</v>
      </c>
      <c r="K43" s="33">
        <f>Table7[[#This Row],[CurrentTotalValue]]-Table7[[#This Row],[Column2]]</f>
        <v>-10897963089</v>
      </c>
    </row>
    <row r="44" spans="1:11" ht="23.1" customHeight="1">
      <c r="A44" s="55" t="s">
        <v>165</v>
      </c>
      <c r="B44" s="33">
        <v>2641883</v>
      </c>
      <c r="C44" s="33">
        <v>62465436599</v>
      </c>
      <c r="D44" s="33">
        <f>Table7[[#This Row],[PeriodBookValue]]*(-1)</f>
        <v>55802649985</v>
      </c>
      <c r="E44" s="33">
        <v>-55802649985</v>
      </c>
      <c r="F44" s="33">
        <f>Table7[[#This Row],[PeriodTotalValue]]-Table7[[#This Row],[Column1]]</f>
        <v>6662786614</v>
      </c>
      <c r="G44" s="33">
        <v>2641883</v>
      </c>
      <c r="H44" s="33">
        <v>62465436599</v>
      </c>
      <c r="I44" s="33">
        <f>Table7[[#This Row],[CurrentBookValue]]*(-1)</f>
        <v>55802649985</v>
      </c>
      <c r="J44" s="33">
        <v>-55802649985</v>
      </c>
      <c r="K44" s="33">
        <f>Table7[[#This Row],[CurrentTotalValue]]-Table7[[#This Row],[Column2]]</f>
        <v>6662786614</v>
      </c>
    </row>
    <row r="45" spans="1:11" ht="23.1" customHeight="1">
      <c r="A45" s="55" t="s">
        <v>166</v>
      </c>
      <c r="B45" s="33">
        <v>671063</v>
      </c>
      <c r="C45" s="33">
        <v>34341733523</v>
      </c>
      <c r="D45" s="33">
        <f>Table7[[#This Row],[PeriodBookValue]]*(-1)</f>
        <v>34627389679</v>
      </c>
      <c r="E45" s="33">
        <v>-34627389679</v>
      </c>
      <c r="F45" s="33">
        <f>Table7[[#This Row],[PeriodTotalValue]]-Table7[[#This Row],[Column1]]</f>
        <v>-285656156</v>
      </c>
      <c r="G45" s="33">
        <v>671063</v>
      </c>
      <c r="H45" s="33">
        <v>34341733523</v>
      </c>
      <c r="I45" s="33">
        <f>Table7[[#This Row],[CurrentBookValue]]*(-1)</f>
        <v>33031558402</v>
      </c>
      <c r="J45" s="33">
        <v>-33031558402</v>
      </c>
      <c r="K45" s="33">
        <f>Table7[[#This Row],[CurrentTotalValue]]-Table7[[#This Row],[Column2]]</f>
        <v>1310175121</v>
      </c>
    </row>
    <row r="46" spans="1:11" ht="23.1" customHeight="1">
      <c r="A46" s="55" t="s">
        <v>167</v>
      </c>
      <c r="B46" s="33">
        <v>548570</v>
      </c>
      <c r="C46" s="33">
        <v>35182879001</v>
      </c>
      <c r="D46" s="33">
        <f>Table7[[#This Row],[PeriodBookValue]]*(-1)</f>
        <v>19666921312</v>
      </c>
      <c r="E46" s="33">
        <v>-19666921312</v>
      </c>
      <c r="F46" s="33">
        <f>Table7[[#This Row],[PeriodTotalValue]]-Table7[[#This Row],[Column1]]</f>
        <v>15515957689</v>
      </c>
      <c r="G46" s="33">
        <v>548570</v>
      </c>
      <c r="H46" s="33">
        <v>35182879001</v>
      </c>
      <c r="I46" s="33">
        <f>Table7[[#This Row],[CurrentBookValue]]*(-1)</f>
        <v>31126503655</v>
      </c>
      <c r="J46" s="33">
        <v>-31126503655</v>
      </c>
      <c r="K46" s="33">
        <f>Table7[[#This Row],[CurrentTotalValue]]-Table7[[#This Row],[Column2]]</f>
        <v>4056375346</v>
      </c>
    </row>
    <row r="47" spans="1:11" ht="23.1" customHeight="1">
      <c r="A47" s="55" t="s">
        <v>168</v>
      </c>
      <c r="B47" s="33">
        <v>1777057</v>
      </c>
      <c r="C47" s="33">
        <v>55958040592</v>
      </c>
      <c r="D47" s="33">
        <f>Table7[[#This Row],[PeriodBookValue]]*(-1)</f>
        <v>52960451504</v>
      </c>
      <c r="E47" s="33">
        <v>-52960451504</v>
      </c>
      <c r="F47" s="33">
        <f>Table7[[#This Row],[PeriodTotalValue]]-Table7[[#This Row],[Column1]]</f>
        <v>2997589088</v>
      </c>
      <c r="G47" s="33">
        <v>1777057</v>
      </c>
      <c r="H47" s="33">
        <v>55958040592</v>
      </c>
      <c r="I47" s="33">
        <f>Table7[[#This Row],[CurrentBookValue]]*(-1)</f>
        <v>56840243824</v>
      </c>
      <c r="J47" s="33">
        <v>-56840243824</v>
      </c>
      <c r="K47" s="33">
        <f>Table7[[#This Row],[CurrentTotalValue]]-Table7[[#This Row],[Column2]]</f>
        <v>-882203232</v>
      </c>
    </row>
    <row r="48" spans="1:11" ht="23.1" customHeight="1">
      <c r="A48" s="55" t="s">
        <v>169</v>
      </c>
      <c r="B48" s="33">
        <v>33361095</v>
      </c>
      <c r="C48" s="33">
        <v>140101656700</v>
      </c>
      <c r="D48" s="33">
        <f>Table7[[#This Row],[PeriodBookValue]]*(-1)</f>
        <v>162106857132</v>
      </c>
      <c r="E48" s="33">
        <v>-162106857132</v>
      </c>
      <c r="F48" s="33">
        <f>Table7[[#This Row],[PeriodTotalValue]]-Table7[[#This Row],[Column1]]</f>
        <v>-22005200432</v>
      </c>
      <c r="G48" s="33">
        <v>33361095</v>
      </c>
      <c r="H48" s="33">
        <v>140101656700</v>
      </c>
      <c r="I48" s="33">
        <f>Table7[[#This Row],[CurrentBookValue]]*(-1)</f>
        <v>174628937146</v>
      </c>
      <c r="J48" s="33">
        <v>-174628937146</v>
      </c>
      <c r="K48" s="33">
        <f>Table7[[#This Row],[CurrentTotalValue]]-Table7[[#This Row],[Column2]]</f>
        <v>-34527280446</v>
      </c>
    </row>
    <row r="49" spans="1:11" ht="23.1" customHeight="1">
      <c r="A49" s="55" t="s">
        <v>170</v>
      </c>
      <c r="B49" s="33">
        <v>24789465</v>
      </c>
      <c r="C49" s="33">
        <v>1112212269621</v>
      </c>
      <c r="D49" s="33">
        <f>Table7[[#This Row],[PeriodBookValue]]*(-1)</f>
        <v>1155615121846</v>
      </c>
      <c r="E49" s="33">
        <v>-1155615121846</v>
      </c>
      <c r="F49" s="33">
        <f>Table7[[#This Row],[PeriodTotalValue]]-Table7[[#This Row],[Column1]]</f>
        <v>-43402852225</v>
      </c>
      <c r="G49" s="33">
        <v>24789465</v>
      </c>
      <c r="H49" s="33">
        <v>1112212269621</v>
      </c>
      <c r="I49" s="33">
        <f>Table7[[#This Row],[CurrentBookValue]]*(-1)</f>
        <v>1442680364227</v>
      </c>
      <c r="J49" s="33">
        <v>-1442680364227</v>
      </c>
      <c r="K49" s="33">
        <f>Table7[[#This Row],[CurrentTotalValue]]-Table7[[#This Row],[Column2]]</f>
        <v>-330468094606</v>
      </c>
    </row>
    <row r="50" spans="1:11" ht="23.1" customHeight="1">
      <c r="A50" s="55" t="s">
        <v>171</v>
      </c>
      <c r="B50" s="33">
        <v>2015194</v>
      </c>
      <c r="C50" s="33">
        <v>98871241071</v>
      </c>
      <c r="D50" s="33">
        <f>Table7[[#This Row],[PeriodBookValue]]*(-1)</f>
        <v>95072838688</v>
      </c>
      <c r="E50" s="33">
        <v>-95072838688</v>
      </c>
      <c r="F50" s="33">
        <f>Table7[[#This Row],[PeriodTotalValue]]-Table7[[#This Row],[Column1]]</f>
        <v>3798402383</v>
      </c>
      <c r="G50" s="33">
        <v>2015194</v>
      </c>
      <c r="H50" s="33">
        <v>98871241071</v>
      </c>
      <c r="I50" s="33">
        <f>Table7[[#This Row],[CurrentBookValue]]*(-1)</f>
        <v>100418341014</v>
      </c>
      <c r="J50" s="33">
        <v>-100418341014</v>
      </c>
      <c r="K50" s="33">
        <f>Table7[[#This Row],[CurrentTotalValue]]-Table7[[#This Row],[Column2]]</f>
        <v>-1547099943</v>
      </c>
    </row>
    <row r="51" spans="1:11" ht="23.1" customHeight="1">
      <c r="A51" s="55" t="s">
        <v>172</v>
      </c>
      <c r="B51" s="33">
        <v>2896170</v>
      </c>
      <c r="C51" s="33">
        <v>135509392545</v>
      </c>
      <c r="D51" s="33">
        <f>Table7[[#This Row],[PeriodBookValue]]*(-1)</f>
        <v>150672773112</v>
      </c>
      <c r="E51" s="33">
        <v>-150672773112</v>
      </c>
      <c r="F51" s="33">
        <f>Table7[[#This Row],[PeriodTotalValue]]-Table7[[#This Row],[Column1]]</f>
        <v>-15163380567</v>
      </c>
      <c r="G51" s="33">
        <v>2896170</v>
      </c>
      <c r="H51" s="33">
        <v>135509392545</v>
      </c>
      <c r="I51" s="33">
        <f>Table7[[#This Row],[CurrentBookValue]]*(-1)</f>
        <v>152484210547</v>
      </c>
      <c r="J51" s="33">
        <v>-152484210547</v>
      </c>
      <c r="K51" s="33">
        <f>Table7[[#This Row],[CurrentTotalValue]]-Table7[[#This Row],[Column2]]</f>
        <v>-16974818002</v>
      </c>
    </row>
    <row r="52" spans="1:11" ht="23.1" customHeight="1">
      <c r="A52" s="55" t="s">
        <v>173</v>
      </c>
      <c r="B52" s="33">
        <v>5181651</v>
      </c>
      <c r="C52" s="33">
        <v>556127519677</v>
      </c>
      <c r="D52" s="33">
        <f>Table7[[#This Row],[PeriodBookValue]]*(-1)</f>
        <v>586645776477</v>
      </c>
      <c r="E52" s="33">
        <v>-586645776477</v>
      </c>
      <c r="F52" s="33">
        <f>Table7[[#This Row],[PeriodTotalValue]]-Table7[[#This Row],[Column1]]</f>
        <v>-30518256800</v>
      </c>
      <c r="G52" s="33">
        <v>5181651</v>
      </c>
      <c r="H52" s="33">
        <v>556127519677</v>
      </c>
      <c r="I52" s="33">
        <f>Table7[[#This Row],[CurrentBookValue]]*(-1)</f>
        <v>713855832446</v>
      </c>
      <c r="J52" s="33">
        <v>-713855832446</v>
      </c>
      <c r="K52" s="33">
        <f>Table7[[#This Row],[CurrentTotalValue]]-Table7[[#This Row],[Column2]]</f>
        <v>-157728312769</v>
      </c>
    </row>
    <row r="53" spans="1:11" ht="23.1" customHeight="1">
      <c r="A53" s="55" t="s">
        <v>174</v>
      </c>
      <c r="B53" s="33">
        <v>300035</v>
      </c>
      <c r="C53" s="33">
        <v>70052873237</v>
      </c>
      <c r="D53" s="33">
        <f>Table7[[#This Row],[PeriodBookValue]]*(-1)</f>
        <v>71936873749</v>
      </c>
      <c r="E53" s="33">
        <v>-71936873749</v>
      </c>
      <c r="F53" s="33">
        <f>Table7[[#This Row],[PeriodTotalValue]]-Table7[[#This Row],[Column1]]</f>
        <v>-1884000512</v>
      </c>
      <c r="G53" s="33">
        <v>300035</v>
      </c>
      <c r="H53" s="33">
        <v>70052873237</v>
      </c>
      <c r="I53" s="33">
        <f>Table7[[#This Row],[CurrentBookValue]]*(-1)</f>
        <v>71936873749</v>
      </c>
      <c r="J53" s="33">
        <v>-71936873749</v>
      </c>
      <c r="K53" s="33">
        <f>Table7[[#This Row],[CurrentTotalValue]]-Table7[[#This Row],[Column2]]</f>
        <v>-1884000512</v>
      </c>
    </row>
    <row r="54" spans="1:11" ht="23.1" customHeight="1">
      <c r="A54" s="55" t="s">
        <v>175</v>
      </c>
      <c r="B54" s="33">
        <v>4790533</v>
      </c>
      <c r="C54" s="33">
        <v>122059951018</v>
      </c>
      <c r="D54" s="33">
        <f>Table7[[#This Row],[PeriodBookValue]]*(-1)</f>
        <v>128355680302</v>
      </c>
      <c r="E54" s="33">
        <v>-128355680302</v>
      </c>
      <c r="F54" s="33">
        <f>Table7[[#This Row],[PeriodTotalValue]]-Table7[[#This Row],[Column1]]</f>
        <v>-6295729284</v>
      </c>
      <c r="G54" s="33">
        <v>4790533</v>
      </c>
      <c r="H54" s="33">
        <v>122059951018</v>
      </c>
      <c r="I54" s="33">
        <f>Table7[[#This Row],[CurrentBookValue]]*(-1)</f>
        <v>137371044689</v>
      </c>
      <c r="J54" s="33">
        <v>-137371044689</v>
      </c>
      <c r="K54" s="33">
        <f>Table7[[#This Row],[CurrentTotalValue]]-Table7[[#This Row],[Column2]]</f>
        <v>-15311093671</v>
      </c>
    </row>
    <row r="55" spans="1:11" ht="23.1" customHeight="1">
      <c r="A55" s="55" t="s">
        <v>176</v>
      </c>
      <c r="B55" s="33">
        <v>951600</v>
      </c>
      <c r="C55" s="33">
        <v>35514179734</v>
      </c>
      <c r="D55" s="33">
        <f>Table7[[#This Row],[PeriodBookValue]]*(-1)</f>
        <v>35618715675</v>
      </c>
      <c r="E55" s="33">
        <v>-35618715675</v>
      </c>
      <c r="F55" s="33">
        <f>Table7[[#This Row],[PeriodTotalValue]]-Table7[[#This Row],[Column1]]</f>
        <v>-104535941</v>
      </c>
      <c r="G55" s="33">
        <v>951600</v>
      </c>
      <c r="H55" s="33">
        <v>35514179734</v>
      </c>
      <c r="I55" s="33">
        <f>Table7[[#This Row],[CurrentBookValue]]*(-1)</f>
        <v>35293559938</v>
      </c>
      <c r="J55" s="33">
        <v>-35293559938</v>
      </c>
      <c r="K55" s="33">
        <f>Table7[[#This Row],[CurrentTotalValue]]-Table7[[#This Row],[Column2]]</f>
        <v>220619796</v>
      </c>
    </row>
    <row r="56" spans="1:11" ht="23.1" customHeight="1">
      <c r="A56" s="55" t="s">
        <v>177</v>
      </c>
      <c r="B56" s="33">
        <v>1079011</v>
      </c>
      <c r="C56" s="33">
        <v>34301976289</v>
      </c>
      <c r="D56" s="33">
        <f>Table7[[#This Row],[PeriodBookValue]]*(-1)</f>
        <v>30398619344</v>
      </c>
      <c r="E56" s="33">
        <v>-30398619344</v>
      </c>
      <c r="F56" s="33">
        <f>Table7[[#This Row],[PeriodTotalValue]]-Table7[[#This Row],[Column1]]</f>
        <v>3903356945</v>
      </c>
      <c r="G56" s="33">
        <v>1079011</v>
      </c>
      <c r="H56" s="33">
        <v>34301976289</v>
      </c>
      <c r="I56" s="33">
        <f>Table7[[#This Row],[CurrentBookValue]]*(-1)</f>
        <v>33349564596</v>
      </c>
      <c r="J56" s="33">
        <v>-33349564596</v>
      </c>
      <c r="K56" s="33">
        <f>Table7[[#This Row],[CurrentTotalValue]]-Table7[[#This Row],[Column2]]</f>
        <v>952411693</v>
      </c>
    </row>
    <row r="57" spans="1:11" ht="23.1" customHeight="1">
      <c r="A57" s="55" t="s">
        <v>178</v>
      </c>
      <c r="B57" s="33">
        <v>98587158</v>
      </c>
      <c r="C57" s="33">
        <v>1478017915589</v>
      </c>
      <c r="D57" s="33">
        <f>Table7[[#This Row],[PeriodBookValue]]*(-1)</f>
        <v>1480112673785</v>
      </c>
      <c r="E57" s="33">
        <v>-1480112673785</v>
      </c>
      <c r="F57" s="33">
        <f>Table7[[#This Row],[PeriodTotalValue]]-Table7[[#This Row],[Column1]]</f>
        <v>-2094758196</v>
      </c>
      <c r="G57" s="33">
        <v>98587158</v>
      </c>
      <c r="H57" s="33">
        <v>1478017915589</v>
      </c>
      <c r="I57" s="33">
        <f>Table7[[#This Row],[CurrentBookValue]]*(-1)</f>
        <v>1602624925847</v>
      </c>
      <c r="J57" s="33">
        <v>-1602624925847</v>
      </c>
      <c r="K57" s="33">
        <f>Table7[[#This Row],[CurrentTotalValue]]-Table7[[#This Row],[Column2]]</f>
        <v>-124607010258</v>
      </c>
    </row>
    <row r="58" spans="1:11" ht="23.1" customHeight="1">
      <c r="A58" s="55" t="s">
        <v>179</v>
      </c>
      <c r="B58" s="33">
        <v>401821</v>
      </c>
      <c r="C58" s="33">
        <v>63216973682</v>
      </c>
      <c r="D58" s="33">
        <f>Table7[[#This Row],[PeriodBookValue]]*(-1)</f>
        <v>59009341469</v>
      </c>
      <c r="E58" s="33">
        <v>-59009341469</v>
      </c>
      <c r="F58" s="33">
        <f>Table7[[#This Row],[PeriodTotalValue]]-Table7[[#This Row],[Column1]]</f>
        <v>4207632213</v>
      </c>
      <c r="G58" s="33">
        <v>401821</v>
      </c>
      <c r="H58" s="33">
        <v>63216973682</v>
      </c>
      <c r="I58" s="33">
        <f>Table7[[#This Row],[CurrentBookValue]]*(-1)</f>
        <v>61710787448</v>
      </c>
      <c r="J58" s="33">
        <v>-61710787448</v>
      </c>
      <c r="K58" s="33">
        <f>Table7[[#This Row],[CurrentTotalValue]]-Table7[[#This Row],[Column2]]</f>
        <v>1506186234</v>
      </c>
    </row>
    <row r="59" spans="1:11" ht="23.1" customHeight="1">
      <c r="A59" s="55" t="s">
        <v>180</v>
      </c>
      <c r="B59" s="33">
        <v>878087</v>
      </c>
      <c r="C59" s="33">
        <v>37803522283</v>
      </c>
      <c r="D59" s="33">
        <f>Table7[[#This Row],[PeriodBookValue]]*(-1)</f>
        <v>33807662763</v>
      </c>
      <c r="E59" s="33">
        <v>-33807662763</v>
      </c>
      <c r="F59" s="33">
        <f>Table7[[#This Row],[PeriodTotalValue]]-Table7[[#This Row],[Column1]]</f>
        <v>3995859520</v>
      </c>
      <c r="G59" s="33">
        <v>878087</v>
      </c>
      <c r="H59" s="33">
        <v>37803522283</v>
      </c>
      <c r="I59" s="33">
        <f>Table7[[#This Row],[CurrentBookValue]]*(-1)</f>
        <v>33217991944</v>
      </c>
      <c r="J59" s="33">
        <v>-33217991944</v>
      </c>
      <c r="K59" s="33">
        <f>Table7[[#This Row],[CurrentTotalValue]]-Table7[[#This Row],[Column2]]</f>
        <v>4585530339</v>
      </c>
    </row>
    <row r="60" spans="1:11" ht="23.1" customHeight="1">
      <c r="A60" s="55" t="s">
        <v>181</v>
      </c>
      <c r="B60" s="33">
        <v>1411484</v>
      </c>
      <c r="C60" s="33">
        <v>114397204406</v>
      </c>
      <c r="D60" s="33">
        <f>Table7[[#This Row],[PeriodBookValue]]*(-1)</f>
        <v>99061578645</v>
      </c>
      <c r="E60" s="33">
        <v>-99061578645</v>
      </c>
      <c r="F60" s="33">
        <f>Table7[[#This Row],[PeriodTotalValue]]-Table7[[#This Row],[Column1]]</f>
        <v>15335625761</v>
      </c>
      <c r="G60" s="33">
        <v>1411484</v>
      </c>
      <c r="H60" s="33">
        <v>114397204406</v>
      </c>
      <c r="I60" s="33">
        <f>Table7[[#This Row],[CurrentBookValue]]*(-1)</f>
        <v>121069807174</v>
      </c>
      <c r="J60" s="33">
        <v>-121069807174</v>
      </c>
      <c r="K60" s="33">
        <f>Table7[[#This Row],[CurrentTotalValue]]-Table7[[#This Row],[Column2]]</f>
        <v>-6672602768</v>
      </c>
    </row>
    <row r="61" spans="1:11" ht="23.1" customHeight="1">
      <c r="A61" s="55" t="s">
        <v>182</v>
      </c>
      <c r="B61" s="33">
        <v>431706867</v>
      </c>
      <c r="C61" s="33">
        <v>9488751333908</v>
      </c>
      <c r="D61" s="33">
        <f>Table7[[#This Row],[PeriodBookValue]]*(-1)</f>
        <v>8599825106138</v>
      </c>
      <c r="E61" s="33">
        <v>-8599825106138</v>
      </c>
      <c r="F61" s="33">
        <f>Table7[[#This Row],[PeriodTotalValue]]-Table7[[#This Row],[Column1]]</f>
        <v>888926227770</v>
      </c>
      <c r="G61" s="33">
        <v>431706867</v>
      </c>
      <c r="H61" s="33">
        <v>9488751333908</v>
      </c>
      <c r="I61" s="33">
        <f>Table7[[#This Row],[CurrentBookValue]]*(-1)</f>
        <v>9712278022199</v>
      </c>
      <c r="J61" s="33">
        <v>-9712278022199</v>
      </c>
      <c r="K61" s="33">
        <f>Table7[[#This Row],[CurrentTotalValue]]-Table7[[#This Row],[Column2]]</f>
        <v>-223526688291</v>
      </c>
    </row>
    <row r="62" spans="1:11" ht="23.1" customHeight="1">
      <c r="A62" s="55" t="s">
        <v>183</v>
      </c>
      <c r="B62" s="33">
        <v>9263019</v>
      </c>
      <c r="C62" s="33">
        <v>642001878858</v>
      </c>
      <c r="D62" s="33">
        <f>Table7[[#This Row],[PeriodBookValue]]*(-1)</f>
        <v>575716804449</v>
      </c>
      <c r="E62" s="33">
        <v>-575716804449</v>
      </c>
      <c r="F62" s="33">
        <f>Table7[[#This Row],[PeriodTotalValue]]-Table7[[#This Row],[Column1]]</f>
        <v>66285074409</v>
      </c>
      <c r="G62" s="33">
        <v>9263019</v>
      </c>
      <c r="H62" s="33">
        <v>642001878858</v>
      </c>
      <c r="I62" s="33">
        <f>Table7[[#This Row],[CurrentBookValue]]*(-1)</f>
        <v>660190187177</v>
      </c>
      <c r="J62" s="33">
        <v>-660190187177</v>
      </c>
      <c r="K62" s="33">
        <f>Table7[[#This Row],[CurrentTotalValue]]-Table7[[#This Row],[Column2]]</f>
        <v>-18188308319</v>
      </c>
    </row>
    <row r="63" spans="1:11" ht="23.1" customHeight="1">
      <c r="A63" s="55" t="s">
        <v>184</v>
      </c>
      <c r="B63" s="33">
        <v>10494540</v>
      </c>
      <c r="C63" s="33">
        <v>232538489911</v>
      </c>
      <c r="D63" s="33">
        <f>Table7[[#This Row],[PeriodBookValue]]*(-1)</f>
        <v>218340664538</v>
      </c>
      <c r="E63" s="33">
        <v>-218340664538</v>
      </c>
      <c r="F63" s="33">
        <f>Table7[[#This Row],[PeriodTotalValue]]-Table7[[#This Row],[Column1]]</f>
        <v>14197825373</v>
      </c>
      <c r="G63" s="33">
        <v>10494540</v>
      </c>
      <c r="H63" s="33">
        <v>232538489911</v>
      </c>
      <c r="I63" s="33">
        <f>Table7[[#This Row],[CurrentBookValue]]*(-1)</f>
        <v>247052358825</v>
      </c>
      <c r="J63" s="33">
        <v>-247052358825</v>
      </c>
      <c r="K63" s="33">
        <f>Table7[[#This Row],[CurrentTotalValue]]-Table7[[#This Row],[Column2]]</f>
        <v>-14513868914</v>
      </c>
    </row>
    <row r="64" spans="1:11" ht="23.1" customHeight="1">
      <c r="A64" s="55" t="s">
        <v>185</v>
      </c>
      <c r="B64" s="33">
        <v>5790761</v>
      </c>
      <c r="C64" s="33">
        <v>177670682706</v>
      </c>
      <c r="D64" s="33">
        <f>Table7[[#This Row],[PeriodBookValue]]*(-1)</f>
        <v>176621753547</v>
      </c>
      <c r="E64" s="33">
        <v>-176621753547</v>
      </c>
      <c r="F64" s="33">
        <f>Table7[[#This Row],[PeriodTotalValue]]-Table7[[#This Row],[Column1]]</f>
        <v>1048929159</v>
      </c>
      <c r="G64" s="33">
        <v>5790761</v>
      </c>
      <c r="H64" s="33">
        <v>177670682706</v>
      </c>
      <c r="I64" s="33">
        <f>Table7[[#This Row],[CurrentBookValue]]*(-1)</f>
        <v>180463769855</v>
      </c>
      <c r="J64" s="33">
        <v>-180463769855</v>
      </c>
      <c r="K64" s="33">
        <f>Table7[[#This Row],[CurrentTotalValue]]-Table7[[#This Row],[Column2]]</f>
        <v>-2793087149</v>
      </c>
    </row>
    <row r="65" spans="1:11" ht="23.1" customHeight="1">
      <c r="A65" s="55" t="s">
        <v>186</v>
      </c>
      <c r="B65" s="33">
        <v>3088944</v>
      </c>
      <c r="C65" s="33">
        <v>111893915862</v>
      </c>
      <c r="D65" s="33">
        <f>Table7[[#This Row],[PeriodBookValue]]*(-1)</f>
        <v>114598520700</v>
      </c>
      <c r="E65" s="33">
        <v>-114598520700</v>
      </c>
      <c r="F65" s="33">
        <f>Table7[[#This Row],[PeriodTotalValue]]-Table7[[#This Row],[Column1]]</f>
        <v>-2704604838</v>
      </c>
      <c r="G65" s="33">
        <v>3088944</v>
      </c>
      <c r="H65" s="33">
        <v>111893915862</v>
      </c>
      <c r="I65" s="33">
        <f>Table7[[#This Row],[CurrentBookValue]]*(-1)</f>
        <v>134697633441</v>
      </c>
      <c r="J65" s="33">
        <v>-134697633441</v>
      </c>
      <c r="K65" s="33">
        <f>Table7[[#This Row],[CurrentTotalValue]]-Table7[[#This Row],[Column2]]</f>
        <v>-22803717579</v>
      </c>
    </row>
    <row r="66" spans="1:11" ht="23.1" customHeight="1">
      <c r="A66" s="55" t="s">
        <v>187</v>
      </c>
      <c r="B66" s="33">
        <v>1113059</v>
      </c>
      <c r="C66" s="33">
        <v>155479530017</v>
      </c>
      <c r="D66" s="33">
        <f>Table7[[#This Row],[PeriodBookValue]]*(-1)</f>
        <v>152223431046</v>
      </c>
      <c r="E66" s="33">
        <v>-152223431046</v>
      </c>
      <c r="F66" s="33">
        <f>Table7[[#This Row],[PeriodTotalValue]]-Table7[[#This Row],[Column1]]</f>
        <v>3256098971</v>
      </c>
      <c r="G66" s="33">
        <v>1113059</v>
      </c>
      <c r="H66" s="33">
        <v>155479530017</v>
      </c>
      <c r="I66" s="33">
        <f>Table7[[#This Row],[CurrentBookValue]]*(-1)</f>
        <v>159128596573</v>
      </c>
      <c r="J66" s="33">
        <v>-159128596573</v>
      </c>
      <c r="K66" s="33">
        <f>Table7[[#This Row],[CurrentTotalValue]]-Table7[[#This Row],[Column2]]</f>
        <v>-3649066556</v>
      </c>
    </row>
    <row r="67" spans="1:11" ht="23.1" customHeight="1">
      <c r="A67" s="55" t="s">
        <v>188</v>
      </c>
      <c r="B67" s="33">
        <v>30293656</v>
      </c>
      <c r="C67" s="33">
        <v>117466169152</v>
      </c>
      <c r="D67" s="33">
        <f>Table7[[#This Row],[PeriodBookValue]]*(-1)</f>
        <v>114720778329</v>
      </c>
      <c r="E67" s="33">
        <v>-114720778329</v>
      </c>
      <c r="F67" s="33">
        <f>Table7[[#This Row],[PeriodTotalValue]]-Table7[[#This Row],[Column1]]</f>
        <v>2745390823</v>
      </c>
      <c r="G67" s="33">
        <v>30293656</v>
      </c>
      <c r="H67" s="33">
        <v>117466169152</v>
      </c>
      <c r="I67" s="33">
        <f>Table7[[#This Row],[CurrentBookValue]]*(-1)</f>
        <v>126770968234</v>
      </c>
      <c r="J67" s="33">
        <v>-126770968234</v>
      </c>
      <c r="K67" s="33">
        <f>Table7[[#This Row],[CurrentTotalValue]]-Table7[[#This Row],[Column2]]</f>
        <v>-9304799082</v>
      </c>
    </row>
    <row r="68" spans="1:11" ht="23.1" customHeight="1">
      <c r="A68" s="55" t="s">
        <v>189</v>
      </c>
      <c r="B68" s="33">
        <v>2429525</v>
      </c>
      <c r="C68" s="33">
        <v>35280344726</v>
      </c>
      <c r="D68" s="33">
        <f>Table7[[#This Row],[PeriodBookValue]]*(-1)</f>
        <v>40306560687</v>
      </c>
      <c r="E68" s="33">
        <v>-40306560687</v>
      </c>
      <c r="F68" s="33">
        <f>Table7[[#This Row],[PeriodTotalValue]]-Table7[[#This Row],[Column1]]</f>
        <v>-5026215961</v>
      </c>
      <c r="G68" s="33">
        <v>2429525</v>
      </c>
      <c r="H68" s="33">
        <v>35280344726</v>
      </c>
      <c r="I68" s="33">
        <f>Table7[[#This Row],[CurrentBookValue]]*(-1)</f>
        <v>40327705759</v>
      </c>
      <c r="J68" s="33">
        <v>-40327705759</v>
      </c>
      <c r="K68" s="33">
        <f>Table7[[#This Row],[CurrentTotalValue]]-Table7[[#This Row],[Column2]]</f>
        <v>-5047361033</v>
      </c>
    </row>
    <row r="69" spans="1:11" ht="23.1" customHeight="1">
      <c r="A69" s="55" t="s">
        <v>190</v>
      </c>
      <c r="B69" s="33">
        <v>13818801</v>
      </c>
      <c r="C69" s="33">
        <v>220395062199</v>
      </c>
      <c r="D69" s="33">
        <f>Table7[[#This Row],[PeriodBookValue]]*(-1)</f>
        <v>211959785048</v>
      </c>
      <c r="E69" s="33">
        <v>-211959785048</v>
      </c>
      <c r="F69" s="33">
        <f>Table7[[#This Row],[PeriodTotalValue]]-Table7[[#This Row],[Column1]]</f>
        <v>8435277151</v>
      </c>
      <c r="G69" s="33">
        <v>13818801</v>
      </c>
      <c r="H69" s="33">
        <v>220395062199</v>
      </c>
      <c r="I69" s="33">
        <f>Table7[[#This Row],[CurrentBookValue]]*(-1)</f>
        <v>238800586123</v>
      </c>
      <c r="J69" s="33">
        <v>-238800586123</v>
      </c>
      <c r="K69" s="33">
        <f>Table7[[#This Row],[CurrentTotalValue]]-Table7[[#This Row],[Column2]]</f>
        <v>-18405523924</v>
      </c>
    </row>
    <row r="70" spans="1:11" ht="23.1" customHeight="1">
      <c r="A70" s="55" t="s">
        <v>191</v>
      </c>
      <c r="B70" s="33">
        <v>3188113</v>
      </c>
      <c r="C70" s="33">
        <v>144214760338</v>
      </c>
      <c r="D70" s="33">
        <f>Table7[[#This Row],[PeriodBookValue]]*(-1)</f>
        <v>116692350520</v>
      </c>
      <c r="E70" s="33">
        <v>-116692350520</v>
      </c>
      <c r="F70" s="33">
        <f>Table7[[#This Row],[PeriodTotalValue]]-Table7[[#This Row],[Column1]]</f>
        <v>27522409818</v>
      </c>
      <c r="G70" s="33">
        <v>3188113</v>
      </c>
      <c r="H70" s="33">
        <v>144214760338</v>
      </c>
      <c r="I70" s="33">
        <f>Table7[[#This Row],[CurrentBookValue]]*(-1)</f>
        <v>137541678631</v>
      </c>
      <c r="J70" s="33">
        <v>-137541678631</v>
      </c>
      <c r="K70" s="33">
        <f>Table7[[#This Row],[CurrentTotalValue]]-Table7[[#This Row],[Column2]]</f>
        <v>6673081707</v>
      </c>
    </row>
    <row r="71" spans="1:11" ht="23.1" customHeight="1">
      <c r="A71" s="55" t="s">
        <v>192</v>
      </c>
      <c r="B71" s="33">
        <v>1070152</v>
      </c>
      <c r="C71" s="33">
        <v>18699883395</v>
      </c>
      <c r="D71" s="33">
        <f>Table7[[#This Row],[PeriodBookValue]]*(-1)</f>
        <v>18289183270</v>
      </c>
      <c r="E71" s="33">
        <v>-18289183270</v>
      </c>
      <c r="F71" s="33">
        <f>Table7[[#This Row],[PeriodTotalValue]]-Table7[[#This Row],[Column1]]</f>
        <v>410700125</v>
      </c>
      <c r="G71" s="33">
        <v>1070152</v>
      </c>
      <c r="H71" s="33">
        <v>18699883395</v>
      </c>
      <c r="I71" s="33">
        <f>Table7[[#This Row],[CurrentBookValue]]*(-1)</f>
        <v>18088830844</v>
      </c>
      <c r="J71" s="33">
        <v>-18088830844</v>
      </c>
      <c r="K71" s="33">
        <f>Table7[[#This Row],[CurrentTotalValue]]-Table7[[#This Row],[Column2]]</f>
        <v>611052551</v>
      </c>
    </row>
    <row r="72" spans="1:11" ht="23.1" customHeight="1">
      <c r="A72" s="55" t="s">
        <v>193</v>
      </c>
      <c r="B72" s="33">
        <v>2837595</v>
      </c>
      <c r="C72" s="33">
        <v>85280402516</v>
      </c>
      <c r="D72" s="33">
        <f>Table7[[#This Row],[PeriodBookValue]]*(-1)</f>
        <v>66460114653</v>
      </c>
      <c r="E72" s="33">
        <v>-66460114653</v>
      </c>
      <c r="F72" s="33">
        <f>Table7[[#This Row],[PeriodTotalValue]]-Table7[[#This Row],[Column1]]</f>
        <v>18820287863</v>
      </c>
      <c r="G72" s="33">
        <v>2837595</v>
      </c>
      <c r="H72" s="33">
        <v>85280402516</v>
      </c>
      <c r="I72" s="33">
        <f>Table7[[#This Row],[CurrentBookValue]]*(-1)</f>
        <v>96983509293</v>
      </c>
      <c r="J72" s="33">
        <v>-96983509293</v>
      </c>
      <c r="K72" s="33">
        <f>Table7[[#This Row],[CurrentTotalValue]]-Table7[[#This Row],[Column2]]</f>
        <v>-11703106777</v>
      </c>
    </row>
    <row r="73" spans="1:11" ht="23.1" customHeight="1">
      <c r="A73" s="55" t="s">
        <v>194</v>
      </c>
      <c r="B73" s="33">
        <v>5876292</v>
      </c>
      <c r="C73" s="33">
        <v>303068854484</v>
      </c>
      <c r="D73" s="33">
        <f>Table7[[#This Row],[PeriodBookValue]]*(-1)</f>
        <v>281601740738</v>
      </c>
      <c r="E73" s="33">
        <v>-281601740738</v>
      </c>
      <c r="F73" s="33">
        <f>Table7[[#This Row],[PeriodTotalValue]]-Table7[[#This Row],[Column1]]</f>
        <v>21467113746</v>
      </c>
      <c r="G73" s="33">
        <v>5876292</v>
      </c>
      <c r="H73" s="33">
        <v>303068854484</v>
      </c>
      <c r="I73" s="33">
        <f>Table7[[#This Row],[CurrentBookValue]]*(-1)</f>
        <v>301733982258</v>
      </c>
      <c r="J73" s="33">
        <v>-301733982258</v>
      </c>
      <c r="K73" s="33">
        <f>Table7[[#This Row],[CurrentTotalValue]]-Table7[[#This Row],[Column2]]</f>
        <v>1334872226</v>
      </c>
    </row>
    <row r="74" spans="1:11" ht="23.1" customHeight="1">
      <c r="A74" s="55" t="s">
        <v>195</v>
      </c>
      <c r="B74" s="33">
        <v>43376</v>
      </c>
      <c r="C74" s="33">
        <v>663263925</v>
      </c>
      <c r="D74" s="33">
        <f>Table7[[#This Row],[PeriodBookValue]]*(-1)</f>
        <v>653456768</v>
      </c>
      <c r="E74" s="33">
        <v>-653456768</v>
      </c>
      <c r="F74" s="33">
        <f>Table7[[#This Row],[PeriodTotalValue]]-Table7[[#This Row],[Column1]]</f>
        <v>9807157</v>
      </c>
      <c r="G74" s="33">
        <v>43376</v>
      </c>
      <c r="H74" s="33">
        <v>663263925</v>
      </c>
      <c r="I74" s="33">
        <f>Table7[[#This Row],[CurrentBookValue]]*(-1)</f>
        <v>653456768</v>
      </c>
      <c r="J74" s="33">
        <v>-653456768</v>
      </c>
      <c r="K74" s="33">
        <f>Table7[[#This Row],[CurrentTotalValue]]-Table7[[#This Row],[Column2]]</f>
        <v>9807157</v>
      </c>
    </row>
    <row r="75" spans="1:11" ht="23.1" customHeight="1">
      <c r="A75" s="55" t="s">
        <v>196</v>
      </c>
      <c r="B75" s="33">
        <v>3729922</v>
      </c>
      <c r="C75" s="33">
        <v>78710400607</v>
      </c>
      <c r="D75" s="33">
        <f>Table7[[#This Row],[PeriodBookValue]]*(-1)</f>
        <v>66894299546</v>
      </c>
      <c r="E75" s="33">
        <v>-66894299546</v>
      </c>
      <c r="F75" s="33">
        <f>Table7[[#This Row],[PeriodTotalValue]]-Table7[[#This Row],[Column1]]</f>
        <v>11816101061</v>
      </c>
      <c r="G75" s="33">
        <v>3729922</v>
      </c>
      <c r="H75" s="33">
        <v>78710400607</v>
      </c>
      <c r="I75" s="33">
        <f>Table7[[#This Row],[CurrentBookValue]]*(-1)</f>
        <v>72812597638</v>
      </c>
      <c r="J75" s="33">
        <v>-72812597638</v>
      </c>
      <c r="K75" s="33">
        <f>Table7[[#This Row],[CurrentTotalValue]]-Table7[[#This Row],[Column2]]</f>
        <v>5897802969</v>
      </c>
    </row>
    <row r="76" spans="1:11" ht="23.1" customHeight="1">
      <c r="A76" s="55" t="s">
        <v>197</v>
      </c>
      <c r="B76" s="33">
        <v>608903</v>
      </c>
      <c r="C76" s="33">
        <v>89829988484</v>
      </c>
      <c r="D76" s="33">
        <f>Table7[[#This Row],[PeriodBookValue]]*(-1)</f>
        <v>92873019826</v>
      </c>
      <c r="E76" s="33">
        <v>-92873019826</v>
      </c>
      <c r="F76" s="33">
        <f>Table7[[#This Row],[PeriodTotalValue]]-Table7[[#This Row],[Column1]]</f>
        <v>-3043031342</v>
      </c>
      <c r="G76" s="33">
        <v>608903</v>
      </c>
      <c r="H76" s="33">
        <v>89829988484</v>
      </c>
      <c r="I76" s="33">
        <f>Table7[[#This Row],[CurrentBookValue]]*(-1)</f>
        <v>91476779646</v>
      </c>
      <c r="J76" s="33">
        <v>-91476779646</v>
      </c>
      <c r="K76" s="33">
        <f>Table7[[#This Row],[CurrentTotalValue]]-Table7[[#This Row],[Column2]]</f>
        <v>-1646791162</v>
      </c>
    </row>
    <row r="77" spans="1:11" ht="23.1" customHeight="1">
      <c r="A77" s="55" t="s">
        <v>198</v>
      </c>
      <c r="B77" s="33">
        <v>380521</v>
      </c>
      <c r="C77" s="33">
        <v>64675530340</v>
      </c>
      <c r="D77" s="33">
        <f>Table7[[#This Row],[PeriodBookValue]]*(-1)</f>
        <v>63035536576</v>
      </c>
      <c r="E77" s="33">
        <v>-63035536576</v>
      </c>
      <c r="F77" s="33">
        <f>Table7[[#This Row],[PeriodTotalValue]]-Table7[[#This Row],[Column1]]</f>
        <v>1639993764</v>
      </c>
      <c r="G77" s="33">
        <v>380521</v>
      </c>
      <c r="H77" s="33">
        <v>64675530340</v>
      </c>
      <c r="I77" s="33">
        <f>Table7[[#This Row],[CurrentBookValue]]*(-1)</f>
        <v>65439937585</v>
      </c>
      <c r="J77" s="33">
        <v>-65439937585</v>
      </c>
      <c r="K77" s="33">
        <f>Table7[[#This Row],[CurrentTotalValue]]-Table7[[#This Row],[Column2]]</f>
        <v>-764407245</v>
      </c>
    </row>
    <row r="78" spans="1:11" ht="23.1" customHeight="1">
      <c r="A78" s="55" t="s">
        <v>199</v>
      </c>
      <c r="B78" s="33">
        <v>4799500</v>
      </c>
      <c r="C78" s="33">
        <v>1381384132047</v>
      </c>
      <c r="D78" s="33">
        <f>Table7[[#This Row],[PeriodBookValue]]*(-1)</f>
        <v>1215653893864</v>
      </c>
      <c r="E78" s="33">
        <v>-1215653893864</v>
      </c>
      <c r="F78" s="33">
        <f>Table7[[#This Row],[PeriodTotalValue]]-Table7[[#This Row],[Column1]]</f>
        <v>165730238183</v>
      </c>
      <c r="G78" s="33">
        <v>4799500</v>
      </c>
      <c r="H78" s="33">
        <v>1381384132047</v>
      </c>
      <c r="I78" s="33">
        <f>Table7[[#This Row],[CurrentBookValue]]*(-1)</f>
        <v>1497114048927</v>
      </c>
      <c r="J78" s="33">
        <v>-1497114048927</v>
      </c>
      <c r="K78" s="33">
        <f>Table7[[#This Row],[CurrentTotalValue]]-Table7[[#This Row],[Column2]]</f>
        <v>-115729916880</v>
      </c>
    </row>
    <row r="79" spans="1:11" ht="23.1" customHeight="1">
      <c r="A79" s="55" t="s">
        <v>200</v>
      </c>
      <c r="B79" s="33">
        <v>3830219</v>
      </c>
      <c r="C79" s="33">
        <v>104643550529</v>
      </c>
      <c r="D79" s="33">
        <f>Table7[[#This Row],[PeriodBookValue]]*(-1)</f>
        <v>112661585506</v>
      </c>
      <c r="E79" s="33">
        <v>-112661585506</v>
      </c>
      <c r="F79" s="33">
        <f>Table7[[#This Row],[PeriodTotalValue]]-Table7[[#This Row],[Column1]]</f>
        <v>-8018034977</v>
      </c>
      <c r="G79" s="33">
        <v>3830219</v>
      </c>
      <c r="H79" s="33">
        <v>104643550529</v>
      </c>
      <c r="I79" s="33">
        <f>Table7[[#This Row],[CurrentBookValue]]*(-1)</f>
        <v>125063431876</v>
      </c>
      <c r="J79" s="33">
        <v>-125063431876</v>
      </c>
      <c r="K79" s="33">
        <f>Table7[[#This Row],[CurrentTotalValue]]-Table7[[#This Row],[Column2]]</f>
        <v>-20419881347</v>
      </c>
    </row>
    <row r="80" spans="1:11" ht="23.1" customHeight="1">
      <c r="A80" s="55" t="s">
        <v>201</v>
      </c>
      <c r="B80" s="33">
        <v>7253694</v>
      </c>
      <c r="C80" s="33">
        <v>438604569067</v>
      </c>
      <c r="D80" s="33">
        <f>Table7[[#This Row],[PeriodBookValue]]*(-1)</f>
        <v>309191859349</v>
      </c>
      <c r="E80" s="33">
        <v>-309191859349</v>
      </c>
      <c r="F80" s="33">
        <f>Table7[[#This Row],[PeriodTotalValue]]-Table7[[#This Row],[Column1]]</f>
        <v>129412709718</v>
      </c>
      <c r="G80" s="33">
        <v>7253694</v>
      </c>
      <c r="H80" s="33">
        <v>438604569067</v>
      </c>
      <c r="I80" s="33">
        <f>Table7[[#This Row],[CurrentBookValue]]*(-1)</f>
        <v>451790120269</v>
      </c>
      <c r="J80" s="33">
        <v>-451790120269</v>
      </c>
      <c r="K80" s="33">
        <f>Table7[[#This Row],[CurrentTotalValue]]-Table7[[#This Row],[Column2]]</f>
        <v>-13185551202</v>
      </c>
    </row>
    <row r="81" spans="1:11" ht="23.1" customHeight="1">
      <c r="A81" s="55" t="s">
        <v>202</v>
      </c>
      <c r="B81" s="33">
        <v>4846598</v>
      </c>
      <c r="C81" s="33">
        <v>111502426377</v>
      </c>
      <c r="D81" s="33">
        <f>Table7[[#This Row],[PeriodBookValue]]*(-1)</f>
        <v>107261264829</v>
      </c>
      <c r="E81" s="33">
        <v>-107261264829</v>
      </c>
      <c r="F81" s="33">
        <f>Table7[[#This Row],[PeriodTotalValue]]-Table7[[#This Row],[Column1]]</f>
        <v>4241161548</v>
      </c>
      <c r="G81" s="33">
        <v>4846598</v>
      </c>
      <c r="H81" s="33">
        <v>111502426377</v>
      </c>
      <c r="I81" s="33">
        <f>Table7[[#This Row],[CurrentBookValue]]*(-1)</f>
        <v>111488524182</v>
      </c>
      <c r="J81" s="33">
        <v>-111488524182</v>
      </c>
      <c r="K81" s="33">
        <f>Table7[[#This Row],[CurrentTotalValue]]-Table7[[#This Row],[Column2]]</f>
        <v>13902195</v>
      </c>
    </row>
    <row r="82" spans="1:11" ht="23.1" customHeight="1">
      <c r="A82" s="55" t="s">
        <v>203</v>
      </c>
      <c r="B82" s="33">
        <v>2037589</v>
      </c>
      <c r="C82" s="33">
        <v>38428128505</v>
      </c>
      <c r="D82" s="33">
        <f>Table7[[#This Row],[PeriodBookValue]]*(-1)</f>
        <v>38069702027</v>
      </c>
      <c r="E82" s="33">
        <v>-38069702027</v>
      </c>
      <c r="F82" s="33">
        <f>Table7[[#This Row],[PeriodTotalValue]]-Table7[[#This Row],[Column1]]</f>
        <v>358426478</v>
      </c>
      <c r="G82" s="33">
        <v>2037589</v>
      </c>
      <c r="H82" s="33">
        <v>38428128505</v>
      </c>
      <c r="I82" s="33">
        <f>Table7[[#This Row],[CurrentBookValue]]*(-1)</f>
        <v>38095908774</v>
      </c>
      <c r="J82" s="33">
        <v>-38095908774</v>
      </c>
      <c r="K82" s="33">
        <f>Table7[[#This Row],[CurrentTotalValue]]-Table7[[#This Row],[Column2]]</f>
        <v>332219731</v>
      </c>
    </row>
    <row r="83" spans="1:11" ht="23.1" customHeight="1">
      <c r="A83" s="55" t="s">
        <v>204</v>
      </c>
      <c r="B83" s="33">
        <v>22395799</v>
      </c>
      <c r="C83" s="33">
        <v>92668217493</v>
      </c>
      <c r="D83" s="33">
        <f>Table7[[#This Row],[PeriodBookValue]]*(-1)</f>
        <v>108995142729</v>
      </c>
      <c r="E83" s="33">
        <v>-108995142729</v>
      </c>
      <c r="F83" s="33">
        <f>Table7[[#This Row],[PeriodTotalValue]]-Table7[[#This Row],[Column1]]</f>
        <v>-16326925236</v>
      </c>
      <c r="G83" s="33">
        <v>22395799</v>
      </c>
      <c r="H83" s="33">
        <v>92668217493</v>
      </c>
      <c r="I83" s="33">
        <f>Table7[[#This Row],[CurrentBookValue]]*(-1)</f>
        <v>108923243987</v>
      </c>
      <c r="J83" s="33">
        <v>-108923243987</v>
      </c>
      <c r="K83" s="33">
        <f>Table7[[#This Row],[CurrentTotalValue]]-Table7[[#This Row],[Column2]]</f>
        <v>-16255026494</v>
      </c>
    </row>
    <row r="84" spans="1:11" ht="23.1" customHeight="1">
      <c r="A84" s="55" t="s">
        <v>242</v>
      </c>
      <c r="B84" s="33">
        <v>285000</v>
      </c>
      <c r="C84" s="33">
        <v>284793375000</v>
      </c>
      <c r="D84" s="33">
        <f>Table7[[#This Row],[PeriodBookValue]]*(-1)</f>
        <v>284687875000</v>
      </c>
      <c r="E84" s="33">
        <v>-284687875000</v>
      </c>
      <c r="F84" s="33">
        <f>Table7[[#This Row],[PeriodTotalValue]]-Table7[[#This Row],[Column1]]</f>
        <v>105500000</v>
      </c>
      <c r="G84" s="33">
        <v>285000</v>
      </c>
      <c r="H84" s="33">
        <v>284793375000</v>
      </c>
      <c r="I84" s="33">
        <f>Table7[[#This Row],[CurrentBookValue]]*(-1)</f>
        <v>284165157250</v>
      </c>
      <c r="J84" s="33">
        <v>-284165157250</v>
      </c>
      <c r="K84" s="33">
        <f>Table7[[#This Row],[CurrentTotalValue]]-Table7[[#This Row],[Column2]]</f>
        <v>628217750</v>
      </c>
    </row>
    <row r="85" spans="1:11" ht="23.1" customHeight="1">
      <c r="A85" s="55" t="s">
        <v>251</v>
      </c>
      <c r="B85" s="33">
        <v>238000</v>
      </c>
      <c r="C85" s="33">
        <v>235449175502</v>
      </c>
      <c r="D85" s="33">
        <f>Table7[[#This Row],[PeriodBookValue]]*(-1)</f>
        <v>237324907778</v>
      </c>
      <c r="E85" s="33">
        <v>-237324907778</v>
      </c>
      <c r="F85" s="33">
        <f>Table7[[#This Row],[PeriodTotalValue]]-Table7[[#This Row],[Column1]]</f>
        <v>-1875732276</v>
      </c>
      <c r="G85" s="33">
        <v>238000</v>
      </c>
      <c r="H85" s="33">
        <v>235449175502</v>
      </c>
      <c r="I85" s="33">
        <f>Table7[[#This Row],[CurrentBookValue]]*(-1)</f>
        <v>223845864086</v>
      </c>
      <c r="J85" s="33">
        <v>-223845864086</v>
      </c>
      <c r="K85" s="33">
        <f>Table7[[#This Row],[CurrentTotalValue]]-Table7[[#This Row],[Column2]]</f>
        <v>11603311416</v>
      </c>
    </row>
    <row r="86" spans="1:11" ht="23.1" customHeight="1">
      <c r="A86" s="55" t="s">
        <v>248</v>
      </c>
      <c r="B86" s="33">
        <v>42047</v>
      </c>
      <c r="C86" s="33">
        <v>30902937383</v>
      </c>
      <c r="D86" s="33">
        <f>Table7[[#This Row],[PeriodBookValue]]*(-1)</f>
        <v>31475664512</v>
      </c>
      <c r="E86" s="33">
        <v>-31475664512</v>
      </c>
      <c r="F86" s="33">
        <f>Table7[[#This Row],[PeriodTotalValue]]-Table7[[#This Row],[Column1]]</f>
        <v>-572727129</v>
      </c>
      <c r="G86" s="33">
        <v>42047</v>
      </c>
      <c r="H86" s="33">
        <v>30902937383</v>
      </c>
      <c r="I86" s="33">
        <f>Table7[[#This Row],[CurrentBookValue]]*(-1)</f>
        <v>29879584654</v>
      </c>
      <c r="J86" s="33">
        <v>-29879584654</v>
      </c>
      <c r="K86" s="33">
        <f>Table7[[#This Row],[CurrentTotalValue]]-Table7[[#This Row],[Column2]]</f>
        <v>1023352729</v>
      </c>
    </row>
    <row r="87" spans="1:11" ht="23.1" customHeight="1">
      <c r="A87" s="55" t="s">
        <v>245</v>
      </c>
      <c r="B87" s="33">
        <v>3660</v>
      </c>
      <c r="C87" s="33">
        <v>2738365046</v>
      </c>
      <c r="D87" s="33">
        <f>Table7[[#This Row],[PeriodBookValue]]*(-1)</f>
        <v>2784239145</v>
      </c>
      <c r="E87" s="33">
        <v>-2784239145</v>
      </c>
      <c r="F87" s="33">
        <f>Table7[[#This Row],[PeriodTotalValue]]-Table7[[#This Row],[Column1]]</f>
        <v>-45874099</v>
      </c>
      <c r="G87" s="33">
        <v>3660</v>
      </c>
      <c r="H87" s="33">
        <v>2738365046</v>
      </c>
      <c r="I87" s="33">
        <f>Table7[[#This Row],[CurrentBookValue]]*(-1)</f>
        <v>2626488819</v>
      </c>
      <c r="J87" s="33">
        <v>-2626488819</v>
      </c>
      <c r="K87" s="33">
        <f>Table7[[#This Row],[CurrentTotalValue]]-Table7[[#This Row],[Column2]]</f>
        <v>111876227</v>
      </c>
    </row>
    <row r="88" spans="1:11" ht="23.1" customHeight="1">
      <c r="A88" s="55" t="s">
        <v>237</v>
      </c>
      <c r="B88" s="33">
        <v>26552</v>
      </c>
      <c r="C88" s="33">
        <v>20308538159</v>
      </c>
      <c r="D88" s="33">
        <f>Table7[[#This Row],[PeriodBookValue]]*(-1)</f>
        <v>20447171776</v>
      </c>
      <c r="E88" s="33">
        <v>-20447171776</v>
      </c>
      <c r="F88" s="33">
        <f>Table7[[#This Row],[PeriodTotalValue]]-Table7[[#This Row],[Column1]]</f>
        <v>-138633617</v>
      </c>
      <c r="G88" s="33">
        <v>26552</v>
      </c>
      <c r="H88" s="33">
        <v>20308538159</v>
      </c>
      <c r="I88" s="33">
        <f>Table7[[#This Row],[CurrentBookValue]]*(-1)</f>
        <v>19577264675</v>
      </c>
      <c r="J88" s="33">
        <v>-19577264675</v>
      </c>
      <c r="K88" s="33">
        <f>Table7[[#This Row],[CurrentTotalValue]]-Table7[[#This Row],[Column2]]</f>
        <v>731273484</v>
      </c>
    </row>
    <row r="89" spans="1:11" ht="23.1" customHeight="1">
      <c r="A89" s="55" t="s">
        <v>240</v>
      </c>
      <c r="B89" s="33">
        <v>9286</v>
      </c>
      <c r="C89" s="33">
        <v>8474059205</v>
      </c>
      <c r="D89" s="33">
        <f>Table7[[#This Row],[PeriodBookValue]]*(-1)</f>
        <v>8382936796</v>
      </c>
      <c r="E89" s="33">
        <v>-8382936796</v>
      </c>
      <c r="F89" s="33">
        <f>Table7[[#This Row],[PeriodTotalValue]]-Table7[[#This Row],[Column1]]</f>
        <v>91122409</v>
      </c>
      <c r="G89" s="33">
        <v>9286</v>
      </c>
      <c r="H89" s="33">
        <v>8474059205</v>
      </c>
      <c r="I89" s="33">
        <f>Table7[[#This Row],[CurrentBookValue]]*(-1)</f>
        <v>8026308785</v>
      </c>
      <c r="J89" s="33">
        <v>-8026308785</v>
      </c>
      <c r="K89" s="33">
        <f>Table7[[#This Row],[CurrentTotalValue]]-Table7[[#This Row],[Column2]]</f>
        <v>447750420</v>
      </c>
    </row>
    <row r="90" spans="1:11" ht="23.1" customHeight="1">
      <c r="A90" s="55" t="s">
        <v>254</v>
      </c>
      <c r="B90" s="33">
        <v>180000</v>
      </c>
      <c r="C90" s="33">
        <v>179869500000</v>
      </c>
      <c r="D90" s="33">
        <f>Table7[[#This Row],[PeriodBookValue]]*(-1)</f>
        <v>179552722222</v>
      </c>
      <c r="E90" s="33">
        <v>-179552722222</v>
      </c>
      <c r="F90" s="33">
        <f>Table7[[#This Row],[PeriodTotalValue]]-Table7[[#This Row],[Column1]]</f>
        <v>316777778</v>
      </c>
      <c r="G90" s="33">
        <v>180000</v>
      </c>
      <c r="H90" s="33">
        <v>179869500000</v>
      </c>
      <c r="I90" s="33">
        <f>Table7[[#This Row],[CurrentBookValue]]*(-1)</f>
        <v>180128722222</v>
      </c>
      <c r="J90" s="33">
        <v>-180128722222</v>
      </c>
      <c r="K90" s="33">
        <f>Table7[[#This Row],[CurrentTotalValue]]-Table7[[#This Row],[Column2]]</f>
        <v>-259222222</v>
      </c>
    </row>
    <row r="91" spans="1:11" ht="23.1" customHeight="1">
      <c r="A91" s="55" t="s">
        <v>230</v>
      </c>
      <c r="B91" s="33">
        <v>500000</v>
      </c>
      <c r="C91" s="33">
        <v>499910000000</v>
      </c>
      <c r="D91" s="33">
        <f>Table7[[#This Row],[PeriodBookValue]]*(-1)</f>
        <v>500272500000</v>
      </c>
      <c r="E91" s="33">
        <v>-500272500000</v>
      </c>
      <c r="F91" s="33">
        <f>Table7[[#This Row],[PeriodTotalValue]]-Table7[[#This Row],[Column1]]</f>
        <v>-362500000</v>
      </c>
      <c r="G91" s="33">
        <v>500000</v>
      </c>
      <c r="H91" s="33">
        <v>499910000000</v>
      </c>
      <c r="I91" s="33">
        <f>Table7[[#This Row],[CurrentBookValue]]*(-1)</f>
        <v>500272500000</v>
      </c>
      <c r="J91" s="33">
        <v>-500272500000</v>
      </c>
      <c r="K91" s="33">
        <f>Table7[[#This Row],[CurrentTotalValue]]-Table7[[#This Row],[Column2]]</f>
        <v>-362500000</v>
      </c>
    </row>
    <row r="92" spans="1:11" ht="23.1" customHeight="1">
      <c r="A92" s="55" t="s">
        <v>234</v>
      </c>
      <c r="B92" s="33">
        <v>14029</v>
      </c>
      <c r="C92" s="33">
        <v>10986906741</v>
      </c>
      <c r="D92" s="33">
        <f>Table7[[#This Row],[PeriodBookValue]]*(-1)</f>
        <v>11101552723</v>
      </c>
      <c r="E92" s="33">
        <v>-11101552723</v>
      </c>
      <c r="F92" s="33">
        <f>Table7[[#This Row],[PeriodTotalValue]]-Table7[[#This Row],[Column1]]</f>
        <v>-114645982</v>
      </c>
      <c r="G92" s="33">
        <v>14029</v>
      </c>
      <c r="H92" s="33">
        <v>10986906741</v>
      </c>
      <c r="I92" s="33">
        <f>Table7[[#This Row],[CurrentBookValue]]*(-1)</f>
        <v>10697846858</v>
      </c>
      <c r="J92" s="33">
        <v>-10697846858</v>
      </c>
      <c r="K92" s="33">
        <f>Table7[[#This Row],[CurrentTotalValue]]-Table7[[#This Row],[Column2]]</f>
        <v>289059883</v>
      </c>
    </row>
    <row r="93" spans="1:11" ht="23.1" customHeight="1">
      <c r="A93" s="55" t="s">
        <v>205</v>
      </c>
      <c r="B93" s="33">
        <v>0</v>
      </c>
      <c r="C93" s="33">
        <v>0</v>
      </c>
      <c r="D93" s="33">
        <f>Table7[[#This Row],[PeriodBookValue]]*(-1)</f>
        <v>10064499885</v>
      </c>
      <c r="E93" s="33">
        <v>-10064499885</v>
      </c>
      <c r="F93" s="33">
        <f>Table7[[#This Row],[PeriodTotalValue]]-Table7[[#This Row],[Column1]]</f>
        <v>-10064499885</v>
      </c>
      <c r="G93" s="33">
        <v>0</v>
      </c>
      <c r="H93" s="33">
        <v>0</v>
      </c>
      <c r="I93" s="33">
        <f>Table7[[#This Row],[CurrentBookValue]]*(-1)</f>
        <v>0</v>
      </c>
      <c r="J93" s="33">
        <v>0</v>
      </c>
      <c r="K93" s="33">
        <f>Table7[[#This Row],[CurrentTotalValue]]-Table7[[#This Row],[Column2]]</f>
        <v>0</v>
      </c>
    </row>
    <row r="94" spans="1:11" ht="23.1" customHeight="1">
      <c r="A94" s="55" t="s">
        <v>206</v>
      </c>
      <c r="B94" s="33">
        <v>8970024</v>
      </c>
      <c r="C94" s="33">
        <v>69009661015</v>
      </c>
      <c r="D94" s="33">
        <f>Table7[[#This Row],[PeriodBookValue]]*(-1)</f>
        <v>87330572574</v>
      </c>
      <c r="E94" s="33">
        <v>-87330572574</v>
      </c>
      <c r="F94" s="33">
        <f>Table7[[#This Row],[PeriodTotalValue]]-Table7[[#This Row],[Column1]]</f>
        <v>-18320911559</v>
      </c>
      <c r="G94" s="33">
        <v>8970024</v>
      </c>
      <c r="H94" s="33">
        <v>69009661015</v>
      </c>
      <c r="I94" s="33">
        <f>Table7[[#This Row],[CurrentBookValue]]*(-1)</f>
        <v>93137894467</v>
      </c>
      <c r="J94" s="33">
        <v>-93137894467</v>
      </c>
      <c r="K94" s="33">
        <f>Table7[[#This Row],[CurrentTotalValue]]-Table7[[#This Row],[Column2]]</f>
        <v>-24128233452</v>
      </c>
    </row>
    <row r="95" spans="1:11" ht="23.1" customHeight="1">
      <c r="A95" s="55" t="s">
        <v>207</v>
      </c>
      <c r="B95" s="33">
        <v>739778</v>
      </c>
      <c r="C95" s="33">
        <v>16693637641</v>
      </c>
      <c r="D95" s="33">
        <f>Table7[[#This Row],[PeriodBookValue]]*(-1)</f>
        <v>17798287752</v>
      </c>
      <c r="E95" s="33">
        <v>-17798287752</v>
      </c>
      <c r="F95" s="33">
        <f>Table7[[#This Row],[PeriodTotalValue]]-Table7[[#This Row],[Column1]]</f>
        <v>-1104650111</v>
      </c>
      <c r="G95" s="33">
        <v>739778</v>
      </c>
      <c r="H95" s="33">
        <v>16693637641</v>
      </c>
      <c r="I95" s="33">
        <f>Table7[[#This Row],[CurrentBookValue]]*(-1)</f>
        <v>19388931428</v>
      </c>
      <c r="J95" s="33">
        <v>-19388931428</v>
      </c>
      <c r="K95" s="33">
        <f>Table7[[#This Row],[CurrentTotalValue]]-Table7[[#This Row],[Column2]]</f>
        <v>-2695293787</v>
      </c>
    </row>
    <row r="96" spans="1:11" ht="23.1" customHeight="1">
      <c r="A96" s="55" t="s">
        <v>208</v>
      </c>
      <c r="B96" s="33">
        <v>3691458</v>
      </c>
      <c r="C96" s="33">
        <v>107483302841</v>
      </c>
      <c r="D96" s="33">
        <f>Table7[[#This Row],[PeriodBookValue]]*(-1)</f>
        <v>119699823394</v>
      </c>
      <c r="E96" s="33">
        <v>-119699823394</v>
      </c>
      <c r="F96" s="33">
        <f>Table7[[#This Row],[PeriodTotalValue]]-Table7[[#This Row],[Column1]]</f>
        <v>-12216520553</v>
      </c>
      <c r="G96" s="33">
        <v>3691458</v>
      </c>
      <c r="H96" s="33">
        <v>107483302841</v>
      </c>
      <c r="I96" s="33">
        <f>Table7[[#This Row],[CurrentBookValue]]*(-1)</f>
        <v>172371795849</v>
      </c>
      <c r="J96" s="33">
        <v>-172371795849</v>
      </c>
      <c r="K96" s="33">
        <f>Table7[[#This Row],[CurrentTotalValue]]-Table7[[#This Row],[Column2]]</f>
        <v>-64888493008</v>
      </c>
    </row>
    <row r="97" spans="1:11" ht="23.1" customHeight="1">
      <c r="A97" s="55" t="s">
        <v>209</v>
      </c>
      <c r="B97" s="33">
        <v>1712953</v>
      </c>
      <c r="C97" s="33">
        <v>24297515168</v>
      </c>
      <c r="D97" s="33">
        <f>Table7[[#This Row],[PeriodBookValue]]*(-1)</f>
        <v>27319764069</v>
      </c>
      <c r="E97" s="33">
        <v>-27319764069</v>
      </c>
      <c r="F97" s="33">
        <f>Table7[[#This Row],[PeriodTotalValue]]-Table7[[#This Row],[Column1]]</f>
        <v>-3022248901</v>
      </c>
      <c r="G97" s="33">
        <v>1712953</v>
      </c>
      <c r="H97" s="33">
        <v>24297515168</v>
      </c>
      <c r="I97" s="33">
        <f>Table7[[#This Row],[CurrentBookValue]]*(-1)</f>
        <v>29845247285</v>
      </c>
      <c r="J97" s="33">
        <v>-29845247285</v>
      </c>
      <c r="K97" s="33">
        <f>Table7[[#This Row],[CurrentTotalValue]]-Table7[[#This Row],[Column2]]</f>
        <v>-5547732117</v>
      </c>
    </row>
    <row r="98" spans="1:11" ht="23.1" customHeight="1">
      <c r="A98" s="55" t="s">
        <v>210</v>
      </c>
      <c r="B98" s="33">
        <v>2980294</v>
      </c>
      <c r="C98" s="33">
        <v>19696277381</v>
      </c>
      <c r="D98" s="33">
        <f>Table7[[#This Row],[PeriodBookValue]]*(-1)</f>
        <v>21564898569</v>
      </c>
      <c r="E98" s="33">
        <v>-21564898569</v>
      </c>
      <c r="F98" s="33">
        <f>Table7[[#This Row],[PeriodTotalValue]]-Table7[[#This Row],[Column1]]</f>
        <v>-1868621188</v>
      </c>
      <c r="G98" s="33">
        <v>2980294</v>
      </c>
      <c r="H98" s="33">
        <v>19696277381</v>
      </c>
      <c r="I98" s="33">
        <f>Table7[[#This Row],[CurrentBookValue]]*(-1)</f>
        <v>30824976077</v>
      </c>
      <c r="J98" s="33">
        <v>-30824976077</v>
      </c>
      <c r="K98" s="33">
        <f>Table7[[#This Row],[CurrentTotalValue]]-Table7[[#This Row],[Column2]]</f>
        <v>-11128698696</v>
      </c>
    </row>
    <row r="99" spans="1:11" ht="23.1" customHeight="1">
      <c r="A99" s="55" t="s">
        <v>211</v>
      </c>
      <c r="B99" s="33">
        <v>2145407</v>
      </c>
      <c r="C99" s="33">
        <v>62338990797</v>
      </c>
      <c r="D99" s="33">
        <f>Table7[[#This Row],[PeriodBookValue]]*(-1)</f>
        <v>72680934783</v>
      </c>
      <c r="E99" s="33">
        <v>-72680934783</v>
      </c>
      <c r="F99" s="33">
        <f>Table7[[#This Row],[PeriodTotalValue]]-Table7[[#This Row],[Column1]]</f>
        <v>-10341943986</v>
      </c>
      <c r="G99" s="33">
        <v>2145407</v>
      </c>
      <c r="H99" s="33">
        <v>62338990797</v>
      </c>
      <c r="I99" s="33">
        <f>Table7[[#This Row],[CurrentBookValue]]*(-1)</f>
        <v>72680934783</v>
      </c>
      <c r="J99" s="33">
        <v>-72680934783</v>
      </c>
      <c r="K99" s="33">
        <f>Table7[[#This Row],[CurrentTotalValue]]-Table7[[#This Row],[Column2]]</f>
        <v>-10341943986</v>
      </c>
    </row>
    <row r="100" spans="1:11" ht="23.1" customHeight="1">
      <c r="A100" s="55" t="s">
        <v>212</v>
      </c>
      <c r="B100" s="33">
        <v>373662</v>
      </c>
      <c r="C100" s="33">
        <v>9098306883</v>
      </c>
      <c r="D100" s="33">
        <f>Table7[[#This Row],[PeriodBookValue]]*(-1)</f>
        <v>10824552501</v>
      </c>
      <c r="E100" s="33">
        <v>-10824552501</v>
      </c>
      <c r="F100" s="33">
        <f>Table7[[#This Row],[PeriodTotalValue]]-Table7[[#This Row],[Column1]]</f>
        <v>-1726245618</v>
      </c>
      <c r="G100" s="33">
        <v>373662</v>
      </c>
      <c r="H100" s="33">
        <v>9098306883</v>
      </c>
      <c r="I100" s="33">
        <f>Table7[[#This Row],[CurrentBookValue]]*(-1)</f>
        <v>10824552501</v>
      </c>
      <c r="J100" s="33">
        <v>-10824552501</v>
      </c>
      <c r="K100" s="33">
        <f>Table7[[#This Row],[CurrentTotalValue]]-Table7[[#This Row],[Column2]]</f>
        <v>-1726245618</v>
      </c>
    </row>
    <row r="101" spans="1:11" ht="23.1" customHeight="1">
      <c r="A101" s="55" t="s">
        <v>213</v>
      </c>
      <c r="B101" s="33">
        <v>2525867</v>
      </c>
      <c r="C101" s="33">
        <v>91028701457</v>
      </c>
      <c r="D101" s="33">
        <f>Table7[[#This Row],[PeriodBookValue]]*(-1)</f>
        <v>113638585261</v>
      </c>
      <c r="E101" s="33">
        <v>-113638585261</v>
      </c>
      <c r="F101" s="33">
        <f>Table7[[#This Row],[PeriodTotalValue]]-Table7[[#This Row],[Column1]]</f>
        <v>-22609883804</v>
      </c>
      <c r="G101" s="33">
        <v>2525867</v>
      </c>
      <c r="H101" s="33">
        <v>91028701457</v>
      </c>
      <c r="I101" s="33">
        <f>Table7[[#This Row],[CurrentBookValue]]*(-1)</f>
        <v>110987570343</v>
      </c>
      <c r="J101" s="33">
        <v>-110987570343</v>
      </c>
      <c r="K101" s="33">
        <f>Table7[[#This Row],[CurrentTotalValue]]-Table7[[#This Row],[Column2]]</f>
        <v>-19958868886</v>
      </c>
    </row>
    <row r="102" spans="1:11" ht="23.1" customHeight="1" thickBot="1">
      <c r="A102" s="55" t="s">
        <v>101</v>
      </c>
      <c r="B102" s="34"/>
      <c r="C102" s="35">
        <f>SUM(C8:C101)</f>
        <v>42877366823182</v>
      </c>
      <c r="D102" s="35">
        <f>SUM(D8:D101)</f>
        <v>39314874300922</v>
      </c>
      <c r="E102" s="34">
        <v>-39314874300922</v>
      </c>
      <c r="F102" s="35">
        <f>SUM(F8:F101)</f>
        <v>3562492522260</v>
      </c>
      <c r="G102" s="34"/>
      <c r="H102" s="35">
        <f>SUM(H8:H101)</f>
        <v>42877366823182</v>
      </c>
      <c r="I102" s="35">
        <f>SUM(I8:I101)</f>
        <v>46097198436140</v>
      </c>
      <c r="J102" s="34"/>
      <c r="K102" s="35">
        <f>SUM(K8:K101)</f>
        <v>-3219831612958</v>
      </c>
    </row>
    <row r="103" spans="1:11" ht="23.25" thickTop="1">
      <c r="F103" s="53">
        <f>C102+E102-F102</f>
        <v>0</v>
      </c>
      <c r="K103" s="53">
        <f>H102+J102-K102</f>
        <v>46097198436140</v>
      </c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70" orientation="landscape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کفایت سرمایه</vt:lpstr>
      <vt:lpstr>' سهام و صندوق‌های سرمایه‌گذاری'!Print_Area</vt:lpstr>
      <vt:lpstr>'1'!Print_Area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2021-02-28T07:12:19Z</cp:lastPrinted>
  <dcterms:created xsi:type="dcterms:W3CDTF">2017-11-22T14:26:20Z</dcterms:created>
  <dcterms:modified xsi:type="dcterms:W3CDTF">2021-02-28T10:40:20Z</dcterms:modified>
</cp:coreProperties>
</file>