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nipoor\Desktop\New folder\بازارگردانی\پرتفوی\"/>
    </mc:Choice>
  </mc:AlternateContent>
  <bookViews>
    <workbookView xWindow="0" yWindow="0" windowWidth="24000" windowHeight="9735" firstSheet="8" activeTab="13"/>
  </bookViews>
  <sheets>
    <sheet name="1" sheetId="16" r:id="rId1"/>
    <sheet name=" سهام و صندوق‌های سرمایه‌گذاری" sheetId="1" r:id="rId2"/>
    <sheet name="اوراق" sheetId="3" r:id="rId3"/>
    <sheet name="سپرده" sheetId="2" r:id="rId4"/>
    <sheet name="درآمدها" sheetId="11" r:id="rId5"/>
    <sheet name="درآمد سود سهام" sheetId="12" r:id="rId6"/>
    <sheet name="سود اوراق بهادار و سپرده بانکی" sheetId="13" r:id="rId7"/>
    <sheet name="درآمد ناشی ازفروش" sheetId="15" r:id="rId8"/>
    <sheet name="درآمد ناشی از تغییر قیمت اوراق " sheetId="14" r:id="rId9"/>
    <sheet name="درآمد سرمایه گذاری در سهام و ص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  <sheet name="کفایت سرمایه" sheetId="20" r:id="rId14"/>
  </sheets>
  <externalReferences>
    <externalReference r:id="rId15"/>
  </externalReferences>
  <definedNames>
    <definedName name="_xlnm.Print_Area" localSheetId="1">' سهام و صندوق‌های سرمایه‌گذاری'!$A$1:$M$96</definedName>
    <definedName name="_xlnm.Print_Area" localSheetId="0">'1'!$A$1:$J$18</definedName>
    <definedName name="_xlnm.Print_Area" localSheetId="2">اوراق!$A$1:$S$20</definedName>
    <definedName name="_xlnm.Print_Area" localSheetId="11">'درآمد سپرده بانکی'!$A$1:$F$88</definedName>
    <definedName name="_xlnm.Print_Area" localSheetId="10">'درآمد سرمایه گذاری در اوراق بها'!$A$1:$I$30</definedName>
    <definedName name="_xlnm.Print_Area" localSheetId="9">'درآمد سرمایه گذاری در سهام و ص '!$A$1:$K$101</definedName>
    <definedName name="_xlnm.Print_Area" localSheetId="5">'درآمد سود سهام'!$A$1:$M$30</definedName>
    <definedName name="_xlnm.Print_Area" localSheetId="8">'درآمد ناشی از تغییر قیمت اوراق '!$A$1:$K$105</definedName>
    <definedName name="_xlnm.Print_Area" localSheetId="7">'درآمد ناشی ازفروش'!$A$1:$K$104</definedName>
    <definedName name="_xlnm.Print_Area" localSheetId="4">درآمدها!$A$1:$S$11</definedName>
    <definedName name="_xlnm.Print_Area" localSheetId="12">'سایر درآمدها'!$A$1:$C$10</definedName>
    <definedName name="_xlnm.Print_Area" localSheetId="3">سپرده!$A$1:$H$94</definedName>
    <definedName name="_xlnm.Print_Area" localSheetId="6">'سود اوراق بهادار و سپرده بانکی'!$A$1:$J$96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0" l="1"/>
  <c r="C12" i="20"/>
  <c r="B12" i="20"/>
  <c r="D10" i="20"/>
  <c r="C10" i="20"/>
  <c r="B10" i="20"/>
  <c r="D9" i="20"/>
  <c r="D11" i="20" s="1"/>
  <c r="D13" i="20" s="1"/>
  <c r="C9" i="20"/>
  <c r="C11" i="20" s="1"/>
  <c r="C13" i="20" s="1"/>
  <c r="B9" i="20"/>
  <c r="B11" i="20" s="1"/>
  <c r="B13" i="20" s="1"/>
  <c r="D7" i="20"/>
  <c r="C7" i="20"/>
  <c r="B7" i="20"/>
  <c r="D6" i="20"/>
  <c r="D8" i="20" s="1"/>
  <c r="C6" i="20"/>
  <c r="C8" i="20" s="1"/>
  <c r="C14" i="20" s="1"/>
  <c r="B6" i="20"/>
  <c r="B14" i="20" s="1"/>
  <c r="A4" i="20"/>
  <c r="D15" i="20" l="1"/>
  <c r="B8" i="20"/>
  <c r="B15" i="20" s="1"/>
  <c r="C10" i="11"/>
  <c r="F12" i="5"/>
  <c r="F100" i="5" s="1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1" i="5"/>
  <c r="K12" i="5"/>
  <c r="K14" i="5"/>
  <c r="K18" i="5"/>
  <c r="K20" i="5"/>
  <c r="K24" i="5"/>
  <c r="K26" i="5"/>
  <c r="K30" i="5"/>
  <c r="K32" i="5"/>
  <c r="K36" i="5"/>
  <c r="K38" i="5"/>
  <c r="K42" i="5"/>
  <c r="K44" i="5"/>
  <c r="K48" i="5"/>
  <c r="K50" i="5"/>
  <c r="K54" i="5"/>
  <c r="K56" i="5"/>
  <c r="K60" i="5"/>
  <c r="K62" i="5"/>
  <c r="K66" i="5"/>
  <c r="K68" i="5"/>
  <c r="K70" i="5"/>
  <c r="K73" i="5"/>
  <c r="K74" i="5"/>
  <c r="K76" i="5"/>
  <c r="K79" i="5"/>
  <c r="K80" i="5"/>
  <c r="K82" i="5"/>
  <c r="K85" i="5"/>
  <c r="K86" i="5"/>
  <c r="K88" i="5"/>
  <c r="K91" i="5"/>
  <c r="K92" i="5"/>
  <c r="K94" i="5"/>
  <c r="K97" i="5"/>
  <c r="K98" i="5"/>
  <c r="K11" i="5"/>
  <c r="E9" i="11"/>
  <c r="E8" i="11"/>
  <c r="E7" i="11"/>
  <c r="D12" i="11"/>
  <c r="C9" i="11"/>
  <c r="C8" i="11"/>
  <c r="C7" i="11"/>
  <c r="B9" i="8"/>
  <c r="C9" i="8"/>
  <c r="B87" i="7"/>
  <c r="D87" i="7"/>
  <c r="B29" i="6"/>
  <c r="C29" i="6"/>
  <c r="D29" i="6"/>
  <c r="E29" i="6"/>
  <c r="F29" i="6"/>
  <c r="G29" i="6"/>
  <c r="H29" i="6"/>
  <c r="I2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H28" i="6"/>
  <c r="D28" i="6"/>
  <c r="D66" i="5"/>
  <c r="E66" i="5" s="1"/>
  <c r="I66" i="5"/>
  <c r="I67" i="5"/>
  <c r="J67" i="5"/>
  <c r="K67" i="5" s="1"/>
  <c r="B100" i="5"/>
  <c r="C100" i="5"/>
  <c r="G100" i="5"/>
  <c r="H100" i="5"/>
  <c r="I100" i="5"/>
  <c r="J99" i="5"/>
  <c r="K99" i="5" s="1"/>
  <c r="J12" i="5"/>
  <c r="J13" i="5"/>
  <c r="K13" i="5" s="1"/>
  <c r="J14" i="5"/>
  <c r="J15" i="5"/>
  <c r="K15" i="5" s="1"/>
  <c r="J16" i="5"/>
  <c r="K16" i="5" s="1"/>
  <c r="J17" i="5"/>
  <c r="K17" i="5" s="1"/>
  <c r="J18" i="5"/>
  <c r="J19" i="5"/>
  <c r="K19" i="5" s="1"/>
  <c r="J20" i="5"/>
  <c r="J21" i="5"/>
  <c r="K21" i="5" s="1"/>
  <c r="J22" i="5"/>
  <c r="K22" i="5" s="1"/>
  <c r="J23" i="5"/>
  <c r="K23" i="5" s="1"/>
  <c r="J24" i="5"/>
  <c r="J25" i="5"/>
  <c r="K25" i="5" s="1"/>
  <c r="J26" i="5"/>
  <c r="J27" i="5"/>
  <c r="K27" i="5" s="1"/>
  <c r="J28" i="5"/>
  <c r="K28" i="5" s="1"/>
  <c r="J29" i="5"/>
  <c r="K29" i="5" s="1"/>
  <c r="J30" i="5"/>
  <c r="J31" i="5"/>
  <c r="K31" i="5" s="1"/>
  <c r="J32" i="5"/>
  <c r="J33" i="5"/>
  <c r="K33" i="5" s="1"/>
  <c r="J34" i="5"/>
  <c r="K34" i="5" s="1"/>
  <c r="J35" i="5"/>
  <c r="K35" i="5" s="1"/>
  <c r="J36" i="5"/>
  <c r="J37" i="5"/>
  <c r="K37" i="5" s="1"/>
  <c r="J38" i="5"/>
  <c r="J39" i="5"/>
  <c r="K39" i="5" s="1"/>
  <c r="J40" i="5"/>
  <c r="K40" i="5" s="1"/>
  <c r="J41" i="5"/>
  <c r="K41" i="5" s="1"/>
  <c r="J42" i="5"/>
  <c r="J43" i="5"/>
  <c r="K43" i="5" s="1"/>
  <c r="J44" i="5"/>
  <c r="J45" i="5"/>
  <c r="K45" i="5" s="1"/>
  <c r="J46" i="5"/>
  <c r="K46" i="5" s="1"/>
  <c r="J47" i="5"/>
  <c r="K47" i="5" s="1"/>
  <c r="J48" i="5"/>
  <c r="J49" i="5"/>
  <c r="K49" i="5" s="1"/>
  <c r="J50" i="5"/>
  <c r="J51" i="5"/>
  <c r="K51" i="5" s="1"/>
  <c r="J52" i="5"/>
  <c r="K52" i="5" s="1"/>
  <c r="J53" i="5"/>
  <c r="K53" i="5" s="1"/>
  <c r="J54" i="5"/>
  <c r="J55" i="5"/>
  <c r="K55" i="5" s="1"/>
  <c r="J56" i="5"/>
  <c r="J57" i="5"/>
  <c r="K57" i="5" s="1"/>
  <c r="J58" i="5"/>
  <c r="K58" i="5" s="1"/>
  <c r="J59" i="5"/>
  <c r="K59" i="5" s="1"/>
  <c r="J60" i="5"/>
  <c r="J61" i="5"/>
  <c r="K61" i="5" s="1"/>
  <c r="J62" i="5"/>
  <c r="J63" i="5"/>
  <c r="K63" i="5" s="1"/>
  <c r="J64" i="5"/>
  <c r="K64" i="5" s="1"/>
  <c r="J65" i="5"/>
  <c r="K65" i="5" s="1"/>
  <c r="J66" i="5"/>
  <c r="J68" i="5"/>
  <c r="J69" i="5"/>
  <c r="K69" i="5" s="1"/>
  <c r="J70" i="5"/>
  <c r="J71" i="5"/>
  <c r="K71" i="5" s="1"/>
  <c r="J72" i="5"/>
  <c r="K72" i="5" s="1"/>
  <c r="J73" i="5"/>
  <c r="J74" i="5"/>
  <c r="J75" i="5"/>
  <c r="K75" i="5" s="1"/>
  <c r="J76" i="5"/>
  <c r="J77" i="5"/>
  <c r="K77" i="5" s="1"/>
  <c r="J78" i="5"/>
  <c r="K78" i="5" s="1"/>
  <c r="J79" i="5"/>
  <c r="J80" i="5"/>
  <c r="J81" i="5"/>
  <c r="K81" i="5" s="1"/>
  <c r="J82" i="5"/>
  <c r="J83" i="5"/>
  <c r="K83" i="5" s="1"/>
  <c r="J84" i="5"/>
  <c r="K84" i="5" s="1"/>
  <c r="J85" i="5"/>
  <c r="J86" i="5"/>
  <c r="J87" i="5"/>
  <c r="K87" i="5" s="1"/>
  <c r="J88" i="5"/>
  <c r="J89" i="5"/>
  <c r="K89" i="5" s="1"/>
  <c r="J90" i="5"/>
  <c r="K90" i="5" s="1"/>
  <c r="J91" i="5"/>
  <c r="J92" i="5"/>
  <c r="J93" i="5"/>
  <c r="K93" i="5" s="1"/>
  <c r="J94" i="5"/>
  <c r="J95" i="5"/>
  <c r="K95" i="5" s="1"/>
  <c r="J96" i="5"/>
  <c r="K96" i="5" s="1"/>
  <c r="J97" i="5"/>
  <c r="J98" i="5"/>
  <c r="J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1" i="5"/>
  <c r="K8" i="14"/>
  <c r="K14" i="14"/>
  <c r="K15" i="14"/>
  <c r="K20" i="14"/>
  <c r="K21" i="14"/>
  <c r="K26" i="14"/>
  <c r="K27" i="14"/>
  <c r="K32" i="14"/>
  <c r="K33" i="14"/>
  <c r="K38" i="14"/>
  <c r="K39" i="14"/>
  <c r="K44" i="14"/>
  <c r="K45" i="14"/>
  <c r="K50" i="14"/>
  <c r="K51" i="14"/>
  <c r="K56" i="14"/>
  <c r="K57" i="14"/>
  <c r="K62" i="14"/>
  <c r="K63" i="14"/>
  <c r="K68" i="14"/>
  <c r="K69" i="14"/>
  <c r="K74" i="14"/>
  <c r="K75" i="14"/>
  <c r="K80" i="14"/>
  <c r="K81" i="14"/>
  <c r="K86" i="14"/>
  <c r="K87" i="14"/>
  <c r="K92" i="14"/>
  <c r="K93" i="14"/>
  <c r="K98" i="14"/>
  <c r="F8" i="14"/>
  <c r="F13" i="14"/>
  <c r="F14" i="14"/>
  <c r="F19" i="14"/>
  <c r="F20" i="14"/>
  <c r="F25" i="14"/>
  <c r="F26" i="14"/>
  <c r="F31" i="14"/>
  <c r="F32" i="14"/>
  <c r="F37" i="14"/>
  <c r="F38" i="14"/>
  <c r="F43" i="14"/>
  <c r="F44" i="14"/>
  <c r="F49" i="14"/>
  <c r="F50" i="14"/>
  <c r="F55" i="14"/>
  <c r="F56" i="14"/>
  <c r="F61" i="14"/>
  <c r="F62" i="14"/>
  <c r="F65" i="14"/>
  <c r="F67" i="14"/>
  <c r="F68" i="14"/>
  <c r="F73" i="14"/>
  <c r="F74" i="14"/>
  <c r="F77" i="14"/>
  <c r="F79" i="14"/>
  <c r="F80" i="14"/>
  <c r="F85" i="14"/>
  <c r="F86" i="14"/>
  <c r="F89" i="14"/>
  <c r="F91" i="14"/>
  <c r="F92" i="14"/>
  <c r="F97" i="14"/>
  <c r="F98" i="14"/>
  <c r="F101" i="14"/>
  <c r="F7" i="14"/>
  <c r="H103" i="14"/>
  <c r="J103" i="14"/>
  <c r="C103" i="14"/>
  <c r="E103" i="14"/>
  <c r="I7" i="14"/>
  <c r="K7" i="14" s="1"/>
  <c r="I8" i="14"/>
  <c r="I9" i="14"/>
  <c r="K9" i="14" s="1"/>
  <c r="I10" i="14"/>
  <c r="K10" i="14" s="1"/>
  <c r="I11" i="14"/>
  <c r="K11" i="14" s="1"/>
  <c r="I12" i="14"/>
  <c r="K12" i="14" s="1"/>
  <c r="I13" i="14"/>
  <c r="K13" i="14" s="1"/>
  <c r="I14" i="14"/>
  <c r="I15" i="14"/>
  <c r="I16" i="14"/>
  <c r="K16" i="14" s="1"/>
  <c r="I17" i="14"/>
  <c r="K17" i="14" s="1"/>
  <c r="I18" i="14"/>
  <c r="K18" i="14" s="1"/>
  <c r="I19" i="14"/>
  <c r="K19" i="14" s="1"/>
  <c r="I20" i="14"/>
  <c r="I21" i="14"/>
  <c r="I22" i="14"/>
  <c r="K22" i="14" s="1"/>
  <c r="I23" i="14"/>
  <c r="K23" i="14" s="1"/>
  <c r="I24" i="14"/>
  <c r="K24" i="14" s="1"/>
  <c r="I25" i="14"/>
  <c r="K25" i="14" s="1"/>
  <c r="I26" i="14"/>
  <c r="I27" i="14"/>
  <c r="I28" i="14"/>
  <c r="K28" i="14" s="1"/>
  <c r="I29" i="14"/>
  <c r="K29" i="14" s="1"/>
  <c r="I30" i="14"/>
  <c r="K30" i="14" s="1"/>
  <c r="I31" i="14"/>
  <c r="K31" i="14" s="1"/>
  <c r="I32" i="14"/>
  <c r="I33" i="14"/>
  <c r="I34" i="14"/>
  <c r="K34" i="14" s="1"/>
  <c r="I35" i="14"/>
  <c r="K35" i="14" s="1"/>
  <c r="I36" i="14"/>
  <c r="K36" i="14" s="1"/>
  <c r="I37" i="14"/>
  <c r="K37" i="14" s="1"/>
  <c r="I38" i="14"/>
  <c r="I39" i="14"/>
  <c r="I40" i="14"/>
  <c r="K40" i="14" s="1"/>
  <c r="I41" i="14"/>
  <c r="K41" i="14" s="1"/>
  <c r="I42" i="14"/>
  <c r="K42" i="14" s="1"/>
  <c r="I43" i="14"/>
  <c r="K43" i="14" s="1"/>
  <c r="I44" i="14"/>
  <c r="I45" i="14"/>
  <c r="I46" i="14"/>
  <c r="K46" i="14" s="1"/>
  <c r="I47" i="14"/>
  <c r="K47" i="14" s="1"/>
  <c r="I48" i="14"/>
  <c r="K48" i="14" s="1"/>
  <c r="I49" i="14"/>
  <c r="K49" i="14" s="1"/>
  <c r="I50" i="14"/>
  <c r="I51" i="14"/>
  <c r="I52" i="14"/>
  <c r="K52" i="14" s="1"/>
  <c r="I53" i="14"/>
  <c r="K53" i="14" s="1"/>
  <c r="I54" i="14"/>
  <c r="K54" i="14" s="1"/>
  <c r="I55" i="14"/>
  <c r="K55" i="14" s="1"/>
  <c r="I56" i="14"/>
  <c r="I57" i="14"/>
  <c r="I58" i="14"/>
  <c r="K58" i="14" s="1"/>
  <c r="I59" i="14"/>
  <c r="K59" i="14" s="1"/>
  <c r="I60" i="14"/>
  <c r="K60" i="14" s="1"/>
  <c r="I61" i="14"/>
  <c r="K61" i="14" s="1"/>
  <c r="I62" i="14"/>
  <c r="I63" i="14"/>
  <c r="I64" i="14"/>
  <c r="K64" i="14" s="1"/>
  <c r="I65" i="14"/>
  <c r="K65" i="14" s="1"/>
  <c r="I66" i="14"/>
  <c r="K66" i="14" s="1"/>
  <c r="I67" i="14"/>
  <c r="K67" i="14" s="1"/>
  <c r="I68" i="14"/>
  <c r="I69" i="14"/>
  <c r="I70" i="14"/>
  <c r="K70" i="14" s="1"/>
  <c r="I71" i="14"/>
  <c r="K71" i="14" s="1"/>
  <c r="I72" i="14"/>
  <c r="K72" i="14" s="1"/>
  <c r="I73" i="14"/>
  <c r="K73" i="14" s="1"/>
  <c r="I74" i="14"/>
  <c r="I75" i="14"/>
  <c r="I76" i="14"/>
  <c r="K76" i="14" s="1"/>
  <c r="I77" i="14"/>
  <c r="K77" i="14" s="1"/>
  <c r="I78" i="14"/>
  <c r="K78" i="14" s="1"/>
  <c r="I79" i="14"/>
  <c r="K79" i="14" s="1"/>
  <c r="I80" i="14"/>
  <c r="I81" i="14"/>
  <c r="I82" i="14"/>
  <c r="K82" i="14" s="1"/>
  <c r="I83" i="14"/>
  <c r="K83" i="14" s="1"/>
  <c r="I84" i="14"/>
  <c r="K84" i="14" s="1"/>
  <c r="I85" i="14"/>
  <c r="K85" i="14" s="1"/>
  <c r="I86" i="14"/>
  <c r="I87" i="14"/>
  <c r="I88" i="14"/>
  <c r="K88" i="14" s="1"/>
  <c r="I89" i="14"/>
  <c r="K89" i="14" s="1"/>
  <c r="I90" i="14"/>
  <c r="K90" i="14" s="1"/>
  <c r="I91" i="14"/>
  <c r="K91" i="14" s="1"/>
  <c r="I92" i="14"/>
  <c r="I93" i="14"/>
  <c r="I94" i="14"/>
  <c r="K94" i="14" s="1"/>
  <c r="I95" i="14"/>
  <c r="K95" i="14" s="1"/>
  <c r="I96" i="14"/>
  <c r="I97" i="14"/>
  <c r="K97" i="14" s="1"/>
  <c r="I98" i="14"/>
  <c r="I99" i="14"/>
  <c r="I100" i="14"/>
  <c r="I101" i="14"/>
  <c r="K101" i="14" s="1"/>
  <c r="I102" i="14"/>
  <c r="I6" i="14"/>
  <c r="D7" i="14"/>
  <c r="D8" i="14"/>
  <c r="D9" i="14"/>
  <c r="D10" i="14"/>
  <c r="F10" i="14" s="1"/>
  <c r="D11" i="14"/>
  <c r="F11" i="14" s="1"/>
  <c r="D12" i="14"/>
  <c r="F12" i="14" s="1"/>
  <c r="D13" i="14"/>
  <c r="D14" i="14"/>
  <c r="D15" i="14"/>
  <c r="F15" i="14" s="1"/>
  <c r="D16" i="14"/>
  <c r="F16" i="14" s="1"/>
  <c r="D17" i="14"/>
  <c r="F17" i="14" s="1"/>
  <c r="D18" i="14"/>
  <c r="F18" i="14" s="1"/>
  <c r="D19" i="14"/>
  <c r="D20" i="14"/>
  <c r="D21" i="14"/>
  <c r="F21" i="14" s="1"/>
  <c r="D22" i="14"/>
  <c r="F22" i="14" s="1"/>
  <c r="D23" i="14"/>
  <c r="F23" i="14" s="1"/>
  <c r="D24" i="14"/>
  <c r="F24" i="14" s="1"/>
  <c r="D25" i="14"/>
  <c r="D26" i="14"/>
  <c r="D27" i="14"/>
  <c r="F27" i="14" s="1"/>
  <c r="D28" i="14"/>
  <c r="F28" i="14" s="1"/>
  <c r="D29" i="14"/>
  <c r="F29" i="14" s="1"/>
  <c r="D30" i="14"/>
  <c r="F30" i="14" s="1"/>
  <c r="D31" i="14"/>
  <c r="D32" i="14"/>
  <c r="D33" i="14"/>
  <c r="F33" i="14" s="1"/>
  <c r="D34" i="14"/>
  <c r="F34" i="14" s="1"/>
  <c r="D35" i="14"/>
  <c r="F35" i="14" s="1"/>
  <c r="D36" i="14"/>
  <c r="F36" i="14" s="1"/>
  <c r="D37" i="14"/>
  <c r="D38" i="14"/>
  <c r="D39" i="14"/>
  <c r="F39" i="14" s="1"/>
  <c r="D40" i="14"/>
  <c r="F40" i="14" s="1"/>
  <c r="D41" i="14"/>
  <c r="F41" i="14" s="1"/>
  <c r="D42" i="14"/>
  <c r="F42" i="14" s="1"/>
  <c r="D43" i="14"/>
  <c r="D44" i="14"/>
  <c r="D45" i="14"/>
  <c r="F45" i="14" s="1"/>
  <c r="D46" i="14"/>
  <c r="F46" i="14" s="1"/>
  <c r="D47" i="14"/>
  <c r="F47" i="14" s="1"/>
  <c r="D48" i="14"/>
  <c r="F48" i="14" s="1"/>
  <c r="D49" i="14"/>
  <c r="D50" i="14"/>
  <c r="D51" i="14"/>
  <c r="F51" i="14" s="1"/>
  <c r="D52" i="14"/>
  <c r="F52" i="14" s="1"/>
  <c r="D53" i="14"/>
  <c r="F53" i="14" s="1"/>
  <c r="D54" i="14"/>
  <c r="F54" i="14" s="1"/>
  <c r="D55" i="14"/>
  <c r="D56" i="14"/>
  <c r="D57" i="14"/>
  <c r="F57" i="14" s="1"/>
  <c r="D58" i="14"/>
  <c r="F58" i="14" s="1"/>
  <c r="D59" i="14"/>
  <c r="F59" i="14" s="1"/>
  <c r="D60" i="14"/>
  <c r="F60" i="14" s="1"/>
  <c r="D61" i="14"/>
  <c r="D62" i="14"/>
  <c r="D63" i="14"/>
  <c r="F63" i="14" s="1"/>
  <c r="D64" i="14"/>
  <c r="F64" i="14" s="1"/>
  <c r="D65" i="14"/>
  <c r="D66" i="14"/>
  <c r="F66" i="14" s="1"/>
  <c r="D67" i="14"/>
  <c r="D68" i="14"/>
  <c r="D69" i="14"/>
  <c r="F69" i="14" s="1"/>
  <c r="D70" i="14"/>
  <c r="F70" i="14" s="1"/>
  <c r="D71" i="14"/>
  <c r="F71" i="14" s="1"/>
  <c r="D72" i="14"/>
  <c r="F72" i="14" s="1"/>
  <c r="D73" i="14"/>
  <c r="D74" i="14"/>
  <c r="D75" i="14"/>
  <c r="F75" i="14" s="1"/>
  <c r="D76" i="14"/>
  <c r="F76" i="14" s="1"/>
  <c r="D77" i="14"/>
  <c r="D78" i="14"/>
  <c r="F78" i="14" s="1"/>
  <c r="D79" i="14"/>
  <c r="D80" i="14"/>
  <c r="D81" i="14"/>
  <c r="F81" i="14" s="1"/>
  <c r="D82" i="14"/>
  <c r="F82" i="14" s="1"/>
  <c r="D83" i="14"/>
  <c r="F83" i="14" s="1"/>
  <c r="D84" i="14"/>
  <c r="F84" i="14" s="1"/>
  <c r="D85" i="14"/>
  <c r="D86" i="14"/>
  <c r="D87" i="14"/>
  <c r="F87" i="14" s="1"/>
  <c r="D88" i="14"/>
  <c r="F88" i="14" s="1"/>
  <c r="D89" i="14"/>
  <c r="D90" i="14"/>
  <c r="F90" i="14" s="1"/>
  <c r="D91" i="14"/>
  <c r="D92" i="14"/>
  <c r="D93" i="14"/>
  <c r="F93" i="14" s="1"/>
  <c r="D94" i="14"/>
  <c r="F94" i="14" s="1"/>
  <c r="D95" i="14"/>
  <c r="F95" i="14" s="1"/>
  <c r="D96" i="14"/>
  <c r="F96" i="14" s="1"/>
  <c r="D97" i="14"/>
  <c r="D98" i="14"/>
  <c r="D99" i="14"/>
  <c r="F99" i="14" s="1"/>
  <c r="D100" i="14"/>
  <c r="F100" i="14" s="1"/>
  <c r="D101" i="14"/>
  <c r="D102" i="14"/>
  <c r="F102" i="14" s="1"/>
  <c r="D6" i="14"/>
  <c r="C42" i="15"/>
  <c r="K100" i="5" l="1"/>
  <c r="D100" i="5"/>
  <c r="J100" i="5"/>
  <c r="C6" i="11" s="1"/>
  <c r="E100" i="5"/>
  <c r="M10" i="5" s="1"/>
  <c r="D103" i="14"/>
  <c r="F9" i="14"/>
  <c r="F103" i="14" s="1"/>
  <c r="I103" i="14"/>
  <c r="K103" i="14"/>
  <c r="C101" i="15"/>
  <c r="C40" i="15"/>
  <c r="H101" i="15"/>
  <c r="H40" i="15"/>
  <c r="E6" i="11" l="1"/>
  <c r="E10" i="11" s="1"/>
  <c r="C35" i="15"/>
  <c r="H35" i="15"/>
  <c r="D9" i="11" l="1"/>
  <c r="D7" i="11"/>
  <c r="D8" i="11"/>
  <c r="D6" i="11"/>
  <c r="H42" i="15"/>
  <c r="D10" i="11" l="1"/>
  <c r="H102" i="15"/>
  <c r="J102" i="15"/>
  <c r="C102" i="15"/>
  <c r="E102" i="15"/>
  <c r="K10" i="15"/>
  <c r="K16" i="15"/>
  <c r="K22" i="15"/>
  <c r="K28" i="15"/>
  <c r="K34" i="15"/>
  <c r="K40" i="15"/>
  <c r="K46" i="15"/>
  <c r="K52" i="15"/>
  <c r="K58" i="15"/>
  <c r="K64" i="15"/>
  <c r="K70" i="15"/>
  <c r="K76" i="15"/>
  <c r="K82" i="15"/>
  <c r="K88" i="15"/>
  <c r="K94" i="15"/>
  <c r="K100" i="15"/>
  <c r="I7" i="15"/>
  <c r="K7" i="15" s="1"/>
  <c r="I8" i="15"/>
  <c r="K8" i="15" s="1"/>
  <c r="I9" i="15"/>
  <c r="K9" i="15" s="1"/>
  <c r="I10" i="15"/>
  <c r="I11" i="15"/>
  <c r="K11" i="15" s="1"/>
  <c r="I12" i="15"/>
  <c r="K12" i="15" s="1"/>
  <c r="I13" i="15"/>
  <c r="K13" i="15" s="1"/>
  <c r="I14" i="15"/>
  <c r="K14" i="15" s="1"/>
  <c r="I15" i="15"/>
  <c r="K15" i="15" s="1"/>
  <c r="I16" i="15"/>
  <c r="I17" i="15"/>
  <c r="K17" i="15" s="1"/>
  <c r="I18" i="15"/>
  <c r="K18" i="15" s="1"/>
  <c r="I19" i="15"/>
  <c r="K19" i="15" s="1"/>
  <c r="I20" i="15"/>
  <c r="K20" i="15" s="1"/>
  <c r="I21" i="15"/>
  <c r="K21" i="15" s="1"/>
  <c r="I22" i="15"/>
  <c r="I23" i="15"/>
  <c r="K23" i="15" s="1"/>
  <c r="I24" i="15"/>
  <c r="K24" i="15" s="1"/>
  <c r="I25" i="15"/>
  <c r="K25" i="15" s="1"/>
  <c r="I26" i="15"/>
  <c r="K26" i="15" s="1"/>
  <c r="I27" i="15"/>
  <c r="K27" i="15" s="1"/>
  <c r="I28" i="15"/>
  <c r="I29" i="15"/>
  <c r="K29" i="15" s="1"/>
  <c r="I30" i="15"/>
  <c r="K30" i="15" s="1"/>
  <c r="I31" i="15"/>
  <c r="K31" i="15" s="1"/>
  <c r="I32" i="15"/>
  <c r="K32" i="15" s="1"/>
  <c r="I33" i="15"/>
  <c r="K33" i="15" s="1"/>
  <c r="I34" i="15"/>
  <c r="I35" i="15"/>
  <c r="K35" i="15" s="1"/>
  <c r="I36" i="15"/>
  <c r="K36" i="15" s="1"/>
  <c r="I37" i="15"/>
  <c r="K37" i="15" s="1"/>
  <c r="I38" i="15"/>
  <c r="K38" i="15" s="1"/>
  <c r="I39" i="15"/>
  <c r="K39" i="15" s="1"/>
  <c r="I40" i="15"/>
  <c r="I41" i="15"/>
  <c r="K41" i="15" s="1"/>
  <c r="I42" i="15"/>
  <c r="K42" i="15" s="1"/>
  <c r="I43" i="15"/>
  <c r="K43" i="15" s="1"/>
  <c r="I44" i="15"/>
  <c r="K44" i="15" s="1"/>
  <c r="I45" i="15"/>
  <c r="K45" i="15" s="1"/>
  <c r="I46" i="15"/>
  <c r="I47" i="15"/>
  <c r="K47" i="15" s="1"/>
  <c r="I48" i="15"/>
  <c r="K48" i="15" s="1"/>
  <c r="I49" i="15"/>
  <c r="K49" i="15" s="1"/>
  <c r="I50" i="15"/>
  <c r="K50" i="15" s="1"/>
  <c r="I51" i="15"/>
  <c r="K51" i="15" s="1"/>
  <c r="I52" i="15"/>
  <c r="I53" i="15"/>
  <c r="K53" i="15" s="1"/>
  <c r="I54" i="15"/>
  <c r="K54" i="15" s="1"/>
  <c r="I55" i="15"/>
  <c r="K55" i="15" s="1"/>
  <c r="I56" i="15"/>
  <c r="K56" i="15" s="1"/>
  <c r="I57" i="15"/>
  <c r="K57" i="15" s="1"/>
  <c r="I58" i="15"/>
  <c r="I59" i="15"/>
  <c r="K59" i="15" s="1"/>
  <c r="I60" i="15"/>
  <c r="K60" i="15" s="1"/>
  <c r="I61" i="15"/>
  <c r="K61" i="15" s="1"/>
  <c r="I62" i="15"/>
  <c r="K62" i="15" s="1"/>
  <c r="I63" i="15"/>
  <c r="K63" i="15" s="1"/>
  <c r="I64" i="15"/>
  <c r="I65" i="15"/>
  <c r="K65" i="15" s="1"/>
  <c r="I66" i="15"/>
  <c r="K66" i="15" s="1"/>
  <c r="I67" i="15"/>
  <c r="K67" i="15" s="1"/>
  <c r="I68" i="15"/>
  <c r="K68" i="15" s="1"/>
  <c r="I69" i="15"/>
  <c r="K69" i="15" s="1"/>
  <c r="I70" i="15"/>
  <c r="I71" i="15"/>
  <c r="K71" i="15" s="1"/>
  <c r="I72" i="15"/>
  <c r="K72" i="15" s="1"/>
  <c r="I73" i="15"/>
  <c r="K73" i="15" s="1"/>
  <c r="I74" i="15"/>
  <c r="K74" i="15" s="1"/>
  <c r="I75" i="15"/>
  <c r="K75" i="15" s="1"/>
  <c r="I76" i="15"/>
  <c r="I77" i="15"/>
  <c r="K77" i="15" s="1"/>
  <c r="I78" i="15"/>
  <c r="K78" i="15" s="1"/>
  <c r="I79" i="15"/>
  <c r="K79" i="15" s="1"/>
  <c r="I80" i="15"/>
  <c r="K80" i="15" s="1"/>
  <c r="I81" i="15"/>
  <c r="K81" i="15" s="1"/>
  <c r="I82" i="15"/>
  <c r="I83" i="15"/>
  <c r="K83" i="15" s="1"/>
  <c r="I84" i="15"/>
  <c r="K84" i="15" s="1"/>
  <c r="I85" i="15"/>
  <c r="K85" i="15" s="1"/>
  <c r="I86" i="15"/>
  <c r="K86" i="15" s="1"/>
  <c r="I87" i="15"/>
  <c r="K87" i="15" s="1"/>
  <c r="I88" i="15"/>
  <c r="I89" i="15"/>
  <c r="K89" i="15" s="1"/>
  <c r="I90" i="15"/>
  <c r="K90" i="15" s="1"/>
  <c r="I91" i="15"/>
  <c r="K91" i="15" s="1"/>
  <c r="I92" i="15"/>
  <c r="K92" i="15" s="1"/>
  <c r="I93" i="15"/>
  <c r="K93" i="15" s="1"/>
  <c r="I94" i="15"/>
  <c r="I95" i="15"/>
  <c r="K95" i="15" s="1"/>
  <c r="I96" i="15"/>
  <c r="K96" i="15" s="1"/>
  <c r="I97" i="15"/>
  <c r="K97" i="15" s="1"/>
  <c r="I98" i="15"/>
  <c r="K98" i="15" s="1"/>
  <c r="I99" i="15"/>
  <c r="K99" i="15" s="1"/>
  <c r="I100" i="15"/>
  <c r="I101" i="15"/>
  <c r="K101" i="15" s="1"/>
  <c r="I6" i="15"/>
  <c r="D7" i="15"/>
  <c r="D102" i="15" s="1"/>
  <c r="D8" i="15"/>
  <c r="F8" i="15" s="1"/>
  <c r="D9" i="15"/>
  <c r="F9" i="15" s="1"/>
  <c r="D10" i="15"/>
  <c r="F10" i="15" s="1"/>
  <c r="D11" i="15"/>
  <c r="F11" i="15" s="1"/>
  <c r="D12" i="15"/>
  <c r="F12" i="15" s="1"/>
  <c r="D13" i="15"/>
  <c r="F13" i="15" s="1"/>
  <c r="D14" i="15"/>
  <c r="F14" i="15" s="1"/>
  <c r="D15" i="15"/>
  <c r="F15" i="15" s="1"/>
  <c r="D16" i="15"/>
  <c r="F16" i="15" s="1"/>
  <c r="D17" i="15"/>
  <c r="F17" i="15" s="1"/>
  <c r="D18" i="15"/>
  <c r="F18" i="15" s="1"/>
  <c r="D19" i="15"/>
  <c r="F19" i="15" s="1"/>
  <c r="D20" i="15"/>
  <c r="F20" i="15" s="1"/>
  <c r="D21" i="15"/>
  <c r="F21" i="15" s="1"/>
  <c r="D22" i="15"/>
  <c r="F22" i="15" s="1"/>
  <c r="D23" i="15"/>
  <c r="F23" i="15" s="1"/>
  <c r="D24" i="15"/>
  <c r="F24" i="15" s="1"/>
  <c r="D25" i="15"/>
  <c r="F25" i="15" s="1"/>
  <c r="D26" i="15"/>
  <c r="F26" i="15" s="1"/>
  <c r="D27" i="15"/>
  <c r="F27" i="15" s="1"/>
  <c r="D28" i="15"/>
  <c r="F28" i="15" s="1"/>
  <c r="D29" i="15"/>
  <c r="F29" i="15" s="1"/>
  <c r="D30" i="15"/>
  <c r="F30" i="15" s="1"/>
  <c r="D31" i="15"/>
  <c r="F31" i="15" s="1"/>
  <c r="D32" i="15"/>
  <c r="F32" i="15" s="1"/>
  <c r="D33" i="15"/>
  <c r="F33" i="15" s="1"/>
  <c r="D34" i="15"/>
  <c r="F34" i="15" s="1"/>
  <c r="D35" i="15"/>
  <c r="F35" i="15" s="1"/>
  <c r="D36" i="15"/>
  <c r="F36" i="15" s="1"/>
  <c r="D37" i="15"/>
  <c r="F37" i="15" s="1"/>
  <c r="D38" i="15"/>
  <c r="F38" i="15" s="1"/>
  <c r="D39" i="15"/>
  <c r="F39" i="15" s="1"/>
  <c r="D40" i="15"/>
  <c r="F40" i="15" s="1"/>
  <c r="D41" i="15"/>
  <c r="F41" i="15" s="1"/>
  <c r="D42" i="15"/>
  <c r="F42" i="15" s="1"/>
  <c r="F102" i="15" s="1"/>
  <c r="D43" i="15"/>
  <c r="F43" i="15" s="1"/>
  <c r="D44" i="15"/>
  <c r="F44" i="15" s="1"/>
  <c r="D45" i="15"/>
  <c r="F45" i="15" s="1"/>
  <c r="D46" i="15"/>
  <c r="F46" i="15" s="1"/>
  <c r="D47" i="15"/>
  <c r="F47" i="15" s="1"/>
  <c r="D48" i="15"/>
  <c r="F48" i="15" s="1"/>
  <c r="D49" i="15"/>
  <c r="F49" i="15" s="1"/>
  <c r="D50" i="15"/>
  <c r="F50" i="15" s="1"/>
  <c r="D51" i="15"/>
  <c r="F51" i="15" s="1"/>
  <c r="D52" i="15"/>
  <c r="F52" i="15" s="1"/>
  <c r="D53" i="15"/>
  <c r="F53" i="15" s="1"/>
  <c r="D54" i="15"/>
  <c r="F54" i="15" s="1"/>
  <c r="D55" i="15"/>
  <c r="F55" i="15" s="1"/>
  <c r="D56" i="15"/>
  <c r="F56" i="15" s="1"/>
  <c r="D57" i="15"/>
  <c r="F57" i="15" s="1"/>
  <c r="D58" i="15"/>
  <c r="F58" i="15" s="1"/>
  <c r="D59" i="15"/>
  <c r="F59" i="15" s="1"/>
  <c r="D60" i="15"/>
  <c r="F60" i="15" s="1"/>
  <c r="D61" i="15"/>
  <c r="F61" i="15" s="1"/>
  <c r="D62" i="15"/>
  <c r="F62" i="15" s="1"/>
  <c r="D63" i="15"/>
  <c r="F63" i="15" s="1"/>
  <c r="D64" i="15"/>
  <c r="F64" i="15" s="1"/>
  <c r="D65" i="15"/>
  <c r="F65" i="15" s="1"/>
  <c r="D66" i="15"/>
  <c r="F66" i="15" s="1"/>
  <c r="D67" i="15"/>
  <c r="F67" i="15" s="1"/>
  <c r="D68" i="15"/>
  <c r="F68" i="15" s="1"/>
  <c r="D69" i="15"/>
  <c r="F69" i="15" s="1"/>
  <c r="D70" i="15"/>
  <c r="F70" i="15" s="1"/>
  <c r="D71" i="15"/>
  <c r="F71" i="15" s="1"/>
  <c r="D72" i="15"/>
  <c r="F72" i="15" s="1"/>
  <c r="D73" i="15"/>
  <c r="F73" i="15" s="1"/>
  <c r="D74" i="15"/>
  <c r="F74" i="15" s="1"/>
  <c r="D75" i="15"/>
  <c r="F75" i="15" s="1"/>
  <c r="D76" i="15"/>
  <c r="F76" i="15" s="1"/>
  <c r="D77" i="15"/>
  <c r="F77" i="15" s="1"/>
  <c r="D78" i="15"/>
  <c r="F78" i="15" s="1"/>
  <c r="D79" i="15"/>
  <c r="F79" i="15" s="1"/>
  <c r="D80" i="15"/>
  <c r="F80" i="15" s="1"/>
  <c r="D81" i="15"/>
  <c r="F81" i="15" s="1"/>
  <c r="D82" i="15"/>
  <c r="F82" i="15" s="1"/>
  <c r="D83" i="15"/>
  <c r="F83" i="15" s="1"/>
  <c r="D84" i="15"/>
  <c r="F84" i="15" s="1"/>
  <c r="D85" i="15"/>
  <c r="F85" i="15" s="1"/>
  <c r="D86" i="15"/>
  <c r="F86" i="15" s="1"/>
  <c r="D87" i="15"/>
  <c r="F87" i="15" s="1"/>
  <c r="D88" i="15"/>
  <c r="F88" i="15" s="1"/>
  <c r="D89" i="15"/>
  <c r="F89" i="15" s="1"/>
  <c r="D90" i="15"/>
  <c r="F90" i="15" s="1"/>
  <c r="D91" i="15"/>
  <c r="F91" i="15" s="1"/>
  <c r="D92" i="15"/>
  <c r="F92" i="15" s="1"/>
  <c r="D93" i="15"/>
  <c r="F93" i="15" s="1"/>
  <c r="D94" i="15"/>
  <c r="F94" i="15" s="1"/>
  <c r="D95" i="15"/>
  <c r="F95" i="15" s="1"/>
  <c r="D96" i="15"/>
  <c r="F96" i="15" s="1"/>
  <c r="D97" i="15"/>
  <c r="F97" i="15" s="1"/>
  <c r="D98" i="15"/>
  <c r="F98" i="15" s="1"/>
  <c r="D99" i="15"/>
  <c r="F99" i="15" s="1"/>
  <c r="D100" i="15"/>
  <c r="F100" i="15" s="1"/>
  <c r="D101" i="15"/>
  <c r="F101" i="15" s="1"/>
  <c r="D6" i="15"/>
  <c r="E95" i="13"/>
  <c r="F95" i="13"/>
  <c r="H95" i="13"/>
  <c r="I95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7" i="13"/>
  <c r="J95" i="13" s="1"/>
  <c r="G8" i="13"/>
  <c r="G95" i="13" s="1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7" i="13"/>
  <c r="E29" i="12"/>
  <c r="F29" i="12"/>
  <c r="G29" i="12"/>
  <c r="H29" i="12"/>
  <c r="I29" i="12"/>
  <c r="J29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7" i="1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K102" i="15" l="1"/>
  <c r="F7" i="15"/>
  <c r="I102" i="15"/>
  <c r="D89" i="2"/>
  <c r="E89" i="2"/>
  <c r="F89" i="2"/>
  <c r="G9" i="2"/>
  <c r="H9" i="2" s="1"/>
  <c r="G10" i="2"/>
  <c r="H10" i="2" s="1"/>
  <c r="G11" i="2"/>
  <c r="H11" i="2" s="1"/>
  <c r="G12" i="2"/>
  <c r="H12" i="2" s="1"/>
  <c r="G13" i="2"/>
  <c r="H13" i="2" s="1"/>
  <c r="G14" i="2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G49" i="2"/>
  <c r="H49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56" i="2"/>
  <c r="H56" i="2" s="1"/>
  <c r="G57" i="2"/>
  <c r="H57" i="2" s="1"/>
  <c r="G58" i="2"/>
  <c r="H58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66" i="2"/>
  <c r="H66" i="2" s="1"/>
  <c r="G67" i="2"/>
  <c r="H67" i="2" s="1"/>
  <c r="G68" i="2"/>
  <c r="H68" i="2" s="1"/>
  <c r="G69" i="2"/>
  <c r="H69" i="2" s="1"/>
  <c r="G70" i="2"/>
  <c r="H70" i="2" s="1"/>
  <c r="G71" i="2"/>
  <c r="H71" i="2" s="1"/>
  <c r="G72" i="2"/>
  <c r="H72" i="2" s="1"/>
  <c r="G73" i="2"/>
  <c r="H73" i="2" s="1"/>
  <c r="G74" i="2"/>
  <c r="H74" i="2" s="1"/>
  <c r="G75" i="2"/>
  <c r="H75" i="2" s="1"/>
  <c r="G76" i="2"/>
  <c r="H76" i="2" s="1"/>
  <c r="G77" i="2"/>
  <c r="H77" i="2" s="1"/>
  <c r="G78" i="2"/>
  <c r="H78" i="2" s="1"/>
  <c r="G79" i="2"/>
  <c r="H79" i="2" s="1"/>
  <c r="G80" i="2"/>
  <c r="H80" i="2" s="1"/>
  <c r="G81" i="2"/>
  <c r="H81" i="2" s="1"/>
  <c r="G82" i="2"/>
  <c r="H82" i="2" s="1"/>
  <c r="G83" i="2"/>
  <c r="H83" i="2" s="1"/>
  <c r="G84" i="2"/>
  <c r="H84" i="2" s="1"/>
  <c r="G85" i="2"/>
  <c r="H85" i="2" s="1"/>
  <c r="G86" i="2"/>
  <c r="H86" i="2" s="1"/>
  <c r="G87" i="2"/>
  <c r="H87" i="2" s="1"/>
  <c r="G88" i="2"/>
  <c r="H88" i="2" s="1"/>
  <c r="G89" i="2" l="1"/>
  <c r="H14" i="2"/>
  <c r="H89" i="2" s="1"/>
  <c r="S10" i="3"/>
  <c r="S19" i="3" s="1"/>
  <c r="S11" i="3"/>
  <c r="S12" i="3"/>
  <c r="S13" i="3"/>
  <c r="S14" i="3"/>
  <c r="S15" i="3"/>
  <c r="S16" i="3"/>
  <c r="S17" i="3"/>
  <c r="S18" i="3"/>
  <c r="S9" i="3"/>
  <c r="T9" i="3"/>
  <c r="T10" i="3"/>
  <c r="T11" i="3"/>
  <c r="T12" i="3"/>
  <c r="T13" i="3"/>
  <c r="T14" i="3"/>
  <c r="T15" i="3"/>
  <c r="T16" i="3"/>
  <c r="T17" i="3"/>
  <c r="T18" i="3"/>
  <c r="T19" i="3"/>
  <c r="R19" i="3"/>
  <c r="N19" i="3"/>
  <c r="L19" i="3"/>
  <c r="I19" i="3"/>
  <c r="J19" i="3"/>
  <c r="Q10" i="3"/>
  <c r="Q11" i="3"/>
  <c r="Q12" i="3"/>
  <c r="Q13" i="3"/>
  <c r="Q14" i="3"/>
  <c r="Q15" i="3"/>
  <c r="Q16" i="3"/>
  <c r="Q17" i="3"/>
  <c r="Q18" i="3"/>
  <c r="Q9" i="3"/>
  <c r="Q19" i="3" s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10" i="1"/>
  <c r="L95" i="1" l="1"/>
  <c r="M95" i="1"/>
  <c r="F95" i="1"/>
  <c r="C95" i="1"/>
  <c r="D95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10" i="1"/>
  <c r="H26" i="1"/>
  <c r="H95" i="1" s="1"/>
  <c r="K26" i="1" l="1"/>
  <c r="K95" i="1" s="1"/>
</calcChain>
</file>

<file path=xl/sharedStrings.xml><?xml version="1.0" encoding="utf-8"?>
<sst xmlns="http://schemas.openxmlformats.org/spreadsheetml/2006/main" count="1308" uniqueCount="429">
  <si>
    <t>صندوق سرمایه گذاری اختصاصی بازارگردانی صبا گستر نفت و گاز تامین</t>
  </si>
  <si>
    <t xml:space="preserve">صورت وضعیت پرتفوی </t>
  </si>
  <si>
    <t>برای ماه منتهی به 1401/02/31</t>
  </si>
  <si>
    <t>3-1- سرمایه‌گذاری در  سپرده‌ بانکی</t>
  </si>
  <si>
    <t>مشخصات حساب بانکی</t>
  </si>
  <si>
    <t>1401/02/01</t>
  </si>
  <si>
    <t>تغییرات طی دوره</t>
  </si>
  <si>
    <t>1401/02/31</t>
  </si>
  <si>
    <t>سپرده های بانکی</t>
  </si>
  <si>
    <t>شماره حساب</t>
  </si>
  <si>
    <t>نوع سپرده</t>
  </si>
  <si>
    <t>نرخ سود علی الحساب</t>
  </si>
  <si>
    <t>مبلغ</t>
  </si>
  <si>
    <t>افزایش</t>
  </si>
  <si>
    <t>کاهش</t>
  </si>
  <si>
    <t>درصد به کل دارایی‌ها</t>
  </si>
  <si>
    <t>پلوله</t>
  </si>
  <si>
    <t>323480858</t>
  </si>
  <si>
    <t>سپرده سرمایه‌گذاری</t>
  </si>
  <si>
    <t>-</t>
  </si>
  <si>
    <t>رفاه-شفارا</t>
  </si>
  <si>
    <t>302567793</t>
  </si>
  <si>
    <t>رفاه-سخاش</t>
  </si>
  <si>
    <t>301838355</t>
  </si>
  <si>
    <t>رفاه-سخوز</t>
  </si>
  <si>
    <t>301834556</t>
  </si>
  <si>
    <t>رفاه-سصوفی</t>
  </si>
  <si>
    <t>301829238</t>
  </si>
  <si>
    <t>رفاه - دقاضی</t>
  </si>
  <si>
    <t>301202886</t>
  </si>
  <si>
    <t>رفاه - دشیمی</t>
  </si>
  <si>
    <t>301202590</t>
  </si>
  <si>
    <t>رفاه - وپخش</t>
  </si>
  <si>
    <t>301202280</t>
  </si>
  <si>
    <t>رفاه - کلوند</t>
  </si>
  <si>
    <t>301201055</t>
  </si>
  <si>
    <t>رفاه-شرانل</t>
  </si>
  <si>
    <t>288030758</t>
  </si>
  <si>
    <t>رفاه-تاپیکو</t>
  </si>
  <si>
    <t>262546747</t>
  </si>
  <si>
    <t>وهامون</t>
  </si>
  <si>
    <t>322284892</t>
  </si>
  <si>
    <t>رفاه-سفاسی</t>
  </si>
  <si>
    <t>310236101</t>
  </si>
  <si>
    <t>رفاه-شکبیر</t>
  </si>
  <si>
    <t>302568906</t>
  </si>
  <si>
    <t>رفاه-مداران</t>
  </si>
  <si>
    <t>302569200</t>
  </si>
  <si>
    <t>رفاه-سدور</t>
  </si>
  <si>
    <t>3018393130</t>
  </si>
  <si>
    <t>رفاه-سفار</t>
  </si>
  <si>
    <t>301834775</t>
  </si>
  <si>
    <t>رفاه - چکاوه</t>
  </si>
  <si>
    <t>301203970</t>
  </si>
  <si>
    <t>رفاه - کاسپین</t>
  </si>
  <si>
    <t>301202928</t>
  </si>
  <si>
    <t>رفاه - هجرت</t>
  </si>
  <si>
    <t>301202450</t>
  </si>
  <si>
    <t>رفاه - شلعاب</t>
  </si>
  <si>
    <t>301202035</t>
  </si>
  <si>
    <t>رفاه-شغدیر</t>
  </si>
  <si>
    <t>288032305</t>
  </si>
  <si>
    <t>رفاه-شپاس</t>
  </si>
  <si>
    <t>288030497</t>
  </si>
  <si>
    <t>رفاه-سیتا</t>
  </si>
  <si>
    <t>301839359</t>
  </si>
  <si>
    <t>رفاه-سفارس</t>
  </si>
  <si>
    <t>301809744</t>
  </si>
  <si>
    <t>رفاه - کپشیر</t>
  </si>
  <si>
    <t>301203910</t>
  </si>
  <si>
    <t>رفاه - دتوزیع</t>
  </si>
  <si>
    <t>301202783</t>
  </si>
  <si>
    <t>رفاه - کلر</t>
  </si>
  <si>
    <t>301202503</t>
  </si>
  <si>
    <t>رفاه - کخاک</t>
  </si>
  <si>
    <t>301200932</t>
  </si>
  <si>
    <t>رفاه-رتکو</t>
  </si>
  <si>
    <t>288032810</t>
  </si>
  <si>
    <t>رفاه-شکربن</t>
  </si>
  <si>
    <t>288032603</t>
  </si>
  <si>
    <t>رفاه-پکرمان</t>
  </si>
  <si>
    <t>288030928</t>
  </si>
  <si>
    <t>رفاه-شاوان</t>
  </si>
  <si>
    <t>302568566</t>
  </si>
  <si>
    <t>رفاه-سغرب</t>
  </si>
  <si>
    <t>301838150</t>
  </si>
  <si>
    <t>رفاه-ساوه</t>
  </si>
  <si>
    <t>301834295</t>
  </si>
  <si>
    <t>رفاه-سرود</t>
  </si>
  <si>
    <t>301833965</t>
  </si>
  <si>
    <t>رفاه - دتماد</t>
  </si>
  <si>
    <t>301203957</t>
  </si>
  <si>
    <t>رفاه - درهاور</t>
  </si>
  <si>
    <t>301202837</t>
  </si>
  <si>
    <t>رفاه - دفارا</t>
  </si>
  <si>
    <t>301202394</t>
  </si>
  <si>
    <t>رفاه - شاملا</t>
  </si>
  <si>
    <t>301200981</t>
  </si>
  <si>
    <t>رفاه-خراسان</t>
  </si>
  <si>
    <t>288027917</t>
  </si>
  <si>
    <t>لطیف</t>
  </si>
  <si>
    <t>315009287</t>
  </si>
  <si>
    <t>چخزر</t>
  </si>
  <si>
    <t>304164240</t>
  </si>
  <si>
    <t>رفاه-سنیر</t>
  </si>
  <si>
    <t>301838495</t>
  </si>
  <si>
    <t>رفاه-سبجنو</t>
  </si>
  <si>
    <t>301835810</t>
  </si>
  <si>
    <t>رفاه - دکپسول</t>
  </si>
  <si>
    <t>301203969</t>
  </si>
  <si>
    <t>رفاه - کفرا</t>
  </si>
  <si>
    <t>301203891</t>
  </si>
  <si>
    <t>رفاه ـ دارو</t>
  </si>
  <si>
    <t>301202412</t>
  </si>
  <si>
    <t>رفاه ـ زگلدشت</t>
  </si>
  <si>
    <t>301202242</t>
  </si>
  <si>
    <t>رفاه - صبا</t>
  </si>
  <si>
    <t>301200816</t>
  </si>
  <si>
    <t>رفاه-تاصیکو</t>
  </si>
  <si>
    <t>288032123</t>
  </si>
  <si>
    <t>رفاه-فکا</t>
  </si>
  <si>
    <t>288031921</t>
  </si>
  <si>
    <t>رفاه - دشیری</t>
  </si>
  <si>
    <t>301202746</t>
  </si>
  <si>
    <t>لخانه</t>
  </si>
  <si>
    <t>304164045</t>
  </si>
  <si>
    <t>رفاه-شپترو</t>
  </si>
  <si>
    <t xml:space="preserve"> 302567987 </t>
  </si>
  <si>
    <t>رفاه-سبهان</t>
  </si>
  <si>
    <t>301837818</t>
  </si>
  <si>
    <t>رفاه -ساروم</t>
  </si>
  <si>
    <t>301832810</t>
  </si>
  <si>
    <t>رفاه - کسعدی</t>
  </si>
  <si>
    <t>301203908</t>
  </si>
  <si>
    <t>رفاه - ددام</t>
  </si>
  <si>
    <t>301202667</t>
  </si>
  <si>
    <t>رفاه - دپارس</t>
  </si>
  <si>
    <t>301202321</t>
  </si>
  <si>
    <t>رفاه-شفن</t>
  </si>
  <si>
    <t>288031623</t>
  </si>
  <si>
    <t>رفاه-اوصتا</t>
  </si>
  <si>
    <t>312708579</t>
  </si>
  <si>
    <t>چکارن</t>
  </si>
  <si>
    <t>304163892</t>
  </si>
  <si>
    <t>رفاه-شستا</t>
  </si>
  <si>
    <t>302569467</t>
  </si>
  <si>
    <t>رفاه-شکلر</t>
  </si>
  <si>
    <t>302568189</t>
  </si>
  <si>
    <t>رفاه-سخزر</t>
  </si>
  <si>
    <t>301835007</t>
  </si>
  <si>
    <t>رفاه-سقاین</t>
  </si>
  <si>
    <t>301833333</t>
  </si>
  <si>
    <t>رفاه - دزهراوی</t>
  </si>
  <si>
    <t>301203933</t>
  </si>
  <si>
    <t>رفاه - درازک</t>
  </si>
  <si>
    <t>301202989</t>
  </si>
  <si>
    <t>رفاه - دلر</t>
  </si>
  <si>
    <t>301202345</t>
  </si>
  <si>
    <t>رفاه - لپارس</t>
  </si>
  <si>
    <t>301202096</t>
  </si>
  <si>
    <t>رفاه-پسهند</t>
  </si>
  <si>
    <t>288032901</t>
  </si>
  <si>
    <t>رفاه-کزغال</t>
  </si>
  <si>
    <t>310236368</t>
  </si>
  <si>
    <t>رفاه-سفانو</t>
  </si>
  <si>
    <t>301835226</t>
  </si>
  <si>
    <t>رفاه - فباهنر</t>
  </si>
  <si>
    <t>301203880</t>
  </si>
  <si>
    <t>رفاه - دابور</t>
  </si>
  <si>
    <t>301202539</t>
  </si>
  <si>
    <t>رفاه - زملارد</t>
  </si>
  <si>
    <t>301202175</t>
  </si>
  <si>
    <t>رفاه-شدوص</t>
  </si>
  <si>
    <t>288033061</t>
  </si>
  <si>
    <t>رفاه-وپترو</t>
  </si>
  <si>
    <t>288032457</t>
  </si>
  <si>
    <t>رفاه-تیپیکو</t>
  </si>
  <si>
    <t>288031740</t>
  </si>
  <si>
    <t>جمع</t>
  </si>
  <si>
    <t/>
  </si>
  <si>
    <t xml:space="preserve"> </t>
  </si>
  <si>
    <t xml:space="preserve"> صندوق سرمایه گذاری اختصاصی بازارگردانی صبا گستر نفت و گاز تامین</t>
  </si>
  <si>
    <t>1- سرمایه گذاری ها</t>
  </si>
  <si>
    <t>1-1-سرمایه‌گذاری در سهام و حق تقدم سهام وصندوق‌های سرمایه‌گذاری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</si>
  <si>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</si>
  <si>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</si>
  <si>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</si>
  <si>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</si>
  <si>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</si>
  <si>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</si>
  <si>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مبلغ خرید</t>
  </si>
  <si>
    <t>مبلغ فروش</t>
  </si>
  <si>
    <t>کشت و دامداری فکا (زفکا)</t>
  </si>
  <si>
    <t>کربن ایران (شکربن)</t>
  </si>
  <si>
    <t>معدنی املاح ایران (شاملا)</t>
  </si>
  <si>
    <t>پارس الکتریک (لپارس)</t>
  </si>
  <si>
    <t>دارو رازک (درازک)</t>
  </si>
  <si>
    <t>فرآورده های نسوز ایران (کفرا)</t>
  </si>
  <si>
    <t>سیمان غرب (سغرب)</t>
  </si>
  <si>
    <t>سیمان سفیدنی ریز (سنیر)</t>
  </si>
  <si>
    <t>سیمان دورود (سدور)</t>
  </si>
  <si>
    <t>نیروکلر (شکلر)</t>
  </si>
  <si>
    <t>صنایع چوب خزر کاسپین (چخزر)</t>
  </si>
  <si>
    <t>گازلوله (پلوله)</t>
  </si>
  <si>
    <t>پارس دارو (دپارس)</t>
  </si>
  <si>
    <t>دارو زهراوی (دزهراوی)</t>
  </si>
  <si>
    <t>سیمان فارس و خوزستان (سفارس)</t>
  </si>
  <si>
    <t>سیمان صوفیان (سصوفی)</t>
  </si>
  <si>
    <t>سیمان ارومیه (ساروم)</t>
  </si>
  <si>
    <t>سیمان قائن (سقاین)</t>
  </si>
  <si>
    <t>سیمان بجنورد (سبجنو)</t>
  </si>
  <si>
    <t>پتروشیمی امیرکبیر (شکبیر)</t>
  </si>
  <si>
    <t>لوازم خانگی پارس (لخانه)</t>
  </si>
  <si>
    <t>سر. نفت و گاز تامین (تاپیکو)</t>
  </si>
  <si>
    <t>صنعتی بارز (پکرمان)</t>
  </si>
  <si>
    <t>سر. صدر تامین (تاصیکو)</t>
  </si>
  <si>
    <t>سر. صبا تامین (صبا)</t>
  </si>
  <si>
    <t>خاک چینی ایران (کخاک)</t>
  </si>
  <si>
    <t>کارخانجات داروپخش (دارو)</t>
  </si>
  <si>
    <t>دارویی ره آورد تامین (درهآور)</t>
  </si>
  <si>
    <t>داروسازی قاضی (دقاضی)</t>
  </si>
  <si>
    <t>مواد داروپخش (دتماد)</t>
  </si>
  <si>
    <t>داده پردازی ایران (مداران)</t>
  </si>
  <si>
    <t>زغال سنگ پروده طبس (کزغال)</t>
  </si>
  <si>
    <t>محصولات کاغذی لطیف (لطیف)</t>
  </si>
  <si>
    <t>نفت ایرانول (شرانل)</t>
  </si>
  <si>
    <t>تکین کو (رتکو)</t>
  </si>
  <si>
    <t>کشاورزی و دامپروری ملارد شیر (زملارد)</t>
  </si>
  <si>
    <t>دارو فارابی (دفارا)</t>
  </si>
  <si>
    <t>دارو ابوریحان (دابور)</t>
  </si>
  <si>
    <t>زاگرس فارمد پارس (ددام)</t>
  </si>
  <si>
    <t>توزیع داروپخش (دتوزیع)</t>
  </si>
  <si>
    <t>سیمان ساوه (ساوه)</t>
  </si>
  <si>
    <t>سیمان خزر (سخزر)</t>
  </si>
  <si>
    <t>پتروشیمی آبادان (شپترو)</t>
  </si>
  <si>
    <t>سر. دارویی تامین (تیپیکو)</t>
  </si>
  <si>
    <t>کاشی الوند (کلوند)</t>
  </si>
  <si>
    <t>کشت و دام گلدشت نمونه اصفهان (زگلدشت)</t>
  </si>
  <si>
    <t>داروپخش (وپخش)</t>
  </si>
  <si>
    <t>شیرین دارو (دشیری)</t>
  </si>
  <si>
    <t>کاسپین تامین (کاسپین)</t>
  </si>
  <si>
    <t>پشم شیشه ایران (کپشیر)</t>
  </si>
  <si>
    <t>تولید ژلاتین کپسول ایران (دکپسول)</t>
  </si>
  <si>
    <t>سیمان فارس نو (سفانو)</t>
  </si>
  <si>
    <t>سیمان فارس (سفار)</t>
  </si>
  <si>
    <t>سر. سیمان تامین (سیتا)</t>
  </si>
  <si>
    <t>پالایش نفت لاوان (شاوان)</t>
  </si>
  <si>
    <t>سر. تامین اجتماعی (شستا)</t>
  </si>
  <si>
    <t>سیمان آبیک (سآبیک)</t>
  </si>
  <si>
    <t>پتروشیمی خراسان (خراسان)</t>
  </si>
  <si>
    <t>نفت پاسارگاد (شپاس)</t>
  </si>
  <si>
    <t>دوده صنعتی پارس (شدوص)</t>
  </si>
  <si>
    <t>دارو اکسیر (دلر)</t>
  </si>
  <si>
    <t>کلر پارس (کلر)</t>
  </si>
  <si>
    <t>کارتن ایران (چکارن)</t>
  </si>
  <si>
    <t>فارسیت اهواز (سفاسی)</t>
  </si>
  <si>
    <t>سر. هامون صبا (وهامون)</t>
  </si>
  <si>
    <t>سر. پتروشیمی (وپترو)</t>
  </si>
  <si>
    <t>لاستیک سهند (پسهند)</t>
  </si>
  <si>
    <t>لعابیران (شلعاب)</t>
  </si>
  <si>
    <t>شیمی داروپخش (دشیمی)</t>
  </si>
  <si>
    <t>مس باهنر (فباهنر)</t>
  </si>
  <si>
    <t>کاغذ سازی کاوه (چکاوه)</t>
  </si>
  <si>
    <t>سیمان شاهرود (سرود)</t>
  </si>
  <si>
    <t>سیمان بهبهان (سبهان)</t>
  </si>
  <si>
    <t>سیمان خاش (سخاش)</t>
  </si>
  <si>
    <t>پتروشیمی فن آوران (شفن)</t>
  </si>
  <si>
    <t>پتروشیمی غدیر (شغدیر)</t>
  </si>
  <si>
    <t>پخش هجرت (هجرت)</t>
  </si>
  <si>
    <t>کاشی سعدی (کسعدی)</t>
  </si>
  <si>
    <t>سیمان خوزستان (سخوز)</t>
  </si>
  <si>
    <t>پتروشیمی فارابی (شفارا)</t>
  </si>
  <si>
    <t>سر. صبا تامین (حق تقدم) (صباح)</t>
  </si>
  <si>
    <t>سیمان خاش (حق تقدم) (سخاشح)</t>
  </si>
  <si>
    <t>پتروشیمی آبادان (حق تقدم) (شپتروح)</t>
  </si>
  <si>
    <t>سیمان ارومیه (حق تقدم) (سارومح)</t>
  </si>
  <si>
    <t>ص س اندیشه ورزان صبا تامین (اوصتا)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</si>
  <si>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</si>
  <si>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</si>
  <si>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</si>
  <si>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تاریخ سررسید</t>
  </si>
  <si>
    <t>منفعت دولت7-ش.خاص نوین0204 (افاد73)</t>
  </si>
  <si>
    <t>بلی</t>
  </si>
  <si>
    <t>1398/10/11</t>
  </si>
  <si>
    <t>1402/04/11</t>
  </si>
  <si>
    <t>مرابحه عام دولت3-ش.خ0211 (اراد32)</t>
  </si>
  <si>
    <t>1399/09/13</t>
  </si>
  <si>
    <t>1402/11/13</t>
  </si>
  <si>
    <t>مرابحه عام دولت3-ش.خ 0305 (اراد34)</t>
  </si>
  <si>
    <t>1399/03/27</t>
  </si>
  <si>
    <t>1403/05/27</t>
  </si>
  <si>
    <t>مرابحه عام دولتی4-ش.خ0302 (اراد50)</t>
  </si>
  <si>
    <t>1399/06/16</t>
  </si>
  <si>
    <t>1403/02/16</t>
  </si>
  <si>
    <t>مرابحه عام دولت61-ش.خ0309 (اراد61)</t>
  </si>
  <si>
    <t>1399/09/26</t>
  </si>
  <si>
    <t>1403/09/26</t>
  </si>
  <si>
    <t>مرابحه عام دولت79-ش.خ010612 (اراد79)</t>
  </si>
  <si>
    <t>1399/12/12</t>
  </si>
  <si>
    <t>1401/06/12</t>
  </si>
  <si>
    <t>اجاره صبا تامین14040125 (صبا1404)</t>
  </si>
  <si>
    <t>1400/01/28</t>
  </si>
  <si>
    <t>1404/01/28</t>
  </si>
  <si>
    <t>اجاره انرژی پاسارگاد14040302 (پاسار04)</t>
  </si>
  <si>
    <t>1400/03/02</t>
  </si>
  <si>
    <t>1404/03/02</t>
  </si>
  <si>
    <t>مرابحه عام دولت86-ش.خ020404 (اراد86)</t>
  </si>
  <si>
    <t>1400/03/04</t>
  </si>
  <si>
    <t>1402/04/04</t>
  </si>
  <si>
    <t>مرابحه عام دولت99-ش.خ050723 (اراد99)</t>
  </si>
  <si>
    <t>1400/11/23</t>
  </si>
  <si>
    <t>1405/07/23</t>
  </si>
  <si>
    <t>به ‌نام خدا</t>
  </si>
  <si>
    <t xml:space="preserve">صورت وضعیت پرتفوی
</t>
  </si>
  <si>
    <t xml:space="preserve">برای ماه منتهی به 1401/02/31
</t>
  </si>
  <si>
    <t>مدیر صندوق</t>
  </si>
  <si>
    <t xml:space="preserve">صورت وضعیت درآمدها </t>
  </si>
  <si>
    <t>برای ماه منتهی به  1401/02/31</t>
  </si>
  <si>
    <t>2-2-درآمد حاصل از سرمایه­گذاری در اوراق بهادار با درآمد ثابت:</t>
  </si>
  <si>
    <t>از ابتدای سال مالی تا 1401/02/31</t>
  </si>
  <si>
    <t>درآمد سود اوراق</t>
  </si>
  <si>
    <t>درآمد تغییر ارزش</t>
  </si>
  <si>
    <t>درآمد فروش</t>
  </si>
  <si>
    <t>اسنادخزانه-م4بودجه00-030522 (اخزا004)</t>
  </si>
  <si>
    <t>اسنادخزانه-م2بودجه00-031024 (اخزا002)</t>
  </si>
  <si>
    <t>اسنادخزانه-م1بودجه00-030821 (اخزا001)</t>
  </si>
  <si>
    <t>اسنادخزانه-م6بودجه00-030723 (اخزا006)</t>
  </si>
  <si>
    <t>اسنادخزانه-م3بودجه00-030418 (اخزا003)</t>
  </si>
  <si>
    <t>اسنادخزانه-م8بودجه00-030919 (اخزا008)</t>
  </si>
  <si>
    <t>اسنادخزانه-م5بودجه00-030626 (اخزا005)</t>
  </si>
  <si>
    <t>اسنادخزانه-م7بودجه00-030912 (اخزا007)</t>
  </si>
  <si>
    <t>اسناد خزانه-م10بودجه00-031115 (اخزا010)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</si>
  <si>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</si>
  <si>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</si>
  <si>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</si>
  <si>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</si>
  <si>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</si>
  <si>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</si>
  <si>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سایر درآمدها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</si>
  <si>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</si>
  <si>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</si>
  <si>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</si>
  <si>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</si>
  <si>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کشاورزی و دامپروری ملارد شیر (حق تقدم) (زملاردح)</t>
  </si>
  <si>
    <t>زغال سنگ پروده طبس (حق تقدم) (کزغالح)</t>
  </si>
  <si>
    <t>سر. هامون صبا (حق تقدم) (وهامونح)</t>
  </si>
  <si>
    <t>دارو رازک (حق تقدم) (درازکح)</t>
  </si>
  <si>
    <t>سود(زیان) حاصل از فروش اوراق بهادار</t>
  </si>
  <si>
    <t>شرح</t>
  </si>
  <si>
    <t>خالص بهای فروش</t>
  </si>
  <si>
    <t>ارزش دفتری</t>
  </si>
  <si>
    <t>سود و زیان ناشی از فروش</t>
  </si>
  <si>
    <t>2- 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</si>
  <si>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</si>
  <si>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</si>
  <si>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</si>
  <si>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</si>
  <si>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</si>
  <si>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</si>
  <si>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</si>
  <si>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</si>
  <si>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</si>
  <si>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4-2</t>
  </si>
  <si>
    <t>درآمد سود سهام</t>
  </si>
  <si>
    <t>اطلاعات مجمع</t>
  </si>
  <si>
    <t>نام سهام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</si>
  <si>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</si>
  <si>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</si>
  <si>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</si>
  <si>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</si>
  <si>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</si>
  <si>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</si>
  <si>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1401/02/10</t>
  </si>
  <si>
    <t>1401/02/11</t>
  </si>
  <si>
    <t>1401/02/17</t>
  </si>
  <si>
    <t>1401/02/18</t>
  </si>
  <si>
    <t>1401/02/19</t>
  </si>
  <si>
    <t>1401/02/20</t>
  </si>
  <si>
    <t>1401/02/21</t>
  </si>
  <si>
    <t>سیمان سفید نی ریز (سنیر)</t>
  </si>
  <si>
    <t>1401/02/24</t>
  </si>
  <si>
    <t>1401/02/25</t>
  </si>
  <si>
    <t>1401/02/26</t>
  </si>
  <si>
    <t>1401/02/27</t>
  </si>
  <si>
    <t>1401/02/28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</si>
  <si>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</si>
  <si>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</si>
  <si>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</si>
  <si>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</si>
  <si>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1401/03/26</t>
  </si>
  <si>
    <t>1401/03/27</t>
  </si>
  <si>
    <t>1401/03/02</t>
  </si>
  <si>
    <t>1401/05/23</t>
  </si>
  <si>
    <t>1401/04/11</t>
  </si>
  <si>
    <t>1401/03/04</t>
  </si>
  <si>
    <t>1401/06/16</t>
  </si>
  <si>
    <t>درآمد ناشی از تغییر قیمت اوراق بهادار</t>
  </si>
  <si>
    <t>سود و زیان ناشی از تغییر قیمت</t>
  </si>
  <si>
    <t>درصد به کل
  دارایی‌ها</t>
  </si>
  <si>
    <t>قیمت بازار
 هر سهم</t>
  </si>
  <si>
    <t>درصد به کل
 دارایی‌ها</t>
  </si>
  <si>
    <t>دارای مجوز
 از سازمان</t>
  </si>
  <si>
    <t>تاریخ انتشار
 اوراق</t>
  </si>
  <si>
    <t>تاریخ 
سررسید</t>
  </si>
  <si>
    <t>نرخ سود
 اسمی</t>
  </si>
  <si>
    <t>نرخ سود
 مؤثر</t>
  </si>
  <si>
    <t>پذیرفته شده
 در بورس یا 
فرابورس</t>
  </si>
  <si>
    <t>قیمت بازار
 هر ورقه</t>
  </si>
  <si>
    <t>طی اردیبهشت ماه</t>
  </si>
  <si>
    <t>1401/02/07</t>
  </si>
  <si>
    <t>1401/02/06</t>
  </si>
  <si>
    <t>1401/02/03</t>
  </si>
  <si>
    <t>1401/02/02</t>
  </si>
  <si>
    <t>1401/02/08</t>
  </si>
  <si>
    <t>ارقام بدون تعدیل</t>
  </si>
  <si>
    <t>تعدیل شده برای محاسبۀ نسبت جاری</t>
  </si>
  <si>
    <t>تعدیل شده برای محاسبۀ نسبت بدهی و تعهدات</t>
  </si>
  <si>
    <t>جمع دارایی جاری</t>
  </si>
  <si>
    <t>جمع دارایی غیر جاری</t>
  </si>
  <si>
    <t>جمع کل دارایی ها</t>
  </si>
  <si>
    <t>جمع بدهی های جاری</t>
  </si>
  <si>
    <t>جمع بدهی های غیر جاری</t>
  </si>
  <si>
    <t>جمع کل بدهی ها</t>
  </si>
  <si>
    <t>جمع کل تعهدات</t>
  </si>
  <si>
    <t>جمع کل بدهی ها و تعهدات</t>
  </si>
  <si>
    <t>نسبت جاری</t>
  </si>
  <si>
    <t>نسبت بدهی و تعهدات</t>
  </si>
  <si>
    <t>دوره منتهی به 1401/02/31</t>
  </si>
  <si>
    <t>کفایت سرمایه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</si>
</sst>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8"/>
      <color theme="1"/>
      <name val="B Titr"/>
      <charset val="178"/>
    </font>
    <font>
      <sz val="20"/>
      <color theme="1"/>
      <name val="B Titr"/>
      <charset val="178"/>
    </font>
    <font>
      <sz val="16"/>
      <color theme="1"/>
      <name val="B Titr"/>
      <charset val="178"/>
    </font>
    <font>
      <sz val="11"/>
      <color rgb="FF0062AC"/>
      <name val="B Titr"/>
      <charset val="178"/>
    </font>
    <font>
      <sz val="11"/>
      <color rgb="FF000000"/>
      <name val="B Titr"/>
      <charset val="178"/>
    </font>
    <font>
      <sz val="8"/>
      <color theme="1"/>
      <name val="B Titr"/>
      <charset val="178"/>
    </font>
    <font>
      <sz val="8"/>
      <color rgb="FF000000"/>
      <name val="B Titr"/>
      <charset val="178"/>
    </font>
    <font>
      <sz val="12"/>
      <color theme="1"/>
      <name val="B Titr"/>
      <charset val="178"/>
    </font>
    <font>
      <sz val="12"/>
      <color rgb="FF0062AC"/>
      <name val="B Titr"/>
      <charset val="178"/>
    </font>
    <font>
      <sz val="10"/>
      <color rgb="FF000000"/>
      <name val="B Titr"/>
      <charset val="178"/>
    </font>
    <font>
      <sz val="10"/>
      <color theme="1"/>
      <name val="B Titr"/>
      <charset val="178"/>
    </font>
    <font>
      <sz val="10"/>
      <color rgb="FF0062AC"/>
      <name val="B Titr"/>
      <charset val="178"/>
    </font>
    <font>
      <sz val="10"/>
      <color theme="0"/>
      <name val="B Titr"/>
      <charset val="178"/>
    </font>
    <font>
      <sz val="11"/>
      <color theme="0"/>
      <name val="B Titr"/>
      <charset val="178"/>
    </font>
    <font>
      <sz val="11"/>
      <color theme="1"/>
      <name val="Calibri"/>
      <family val="2"/>
      <scheme val="minor"/>
    </font>
    <font>
      <sz val="11"/>
      <color rgb="FFFF0000"/>
      <name val="B Titr"/>
      <charset val="178"/>
    </font>
    <font>
      <sz val="11"/>
      <name val="B Titr"/>
      <charset val="178"/>
    </font>
    <font>
      <b/>
      <sz val="16"/>
      <color theme="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08">
    <xf numFmtId="0" fontId="0" fillId="0" borderId="0" xfId="0" applyNumberFormat="1" applyFont="1" applyFill="1" applyBorder="1"/>
    <xf numFmtId="38" fontId="1" fillId="2" borderId="0" xfId="0" applyNumberFormat="1" applyFont="1" applyFill="1" applyBorder="1"/>
    <xf numFmtId="38" fontId="3" fillId="2" borderId="0" xfId="0" applyNumberFormat="1" applyFont="1" applyFill="1" applyBorder="1" applyAlignment="1">
      <alignment vertical="top"/>
    </xf>
    <xf numFmtId="38" fontId="3" fillId="2" borderId="0" xfId="0" applyNumberFormat="1" applyFont="1" applyFill="1" applyBorder="1" applyAlignment="1">
      <alignment vertical="top" wrapText="1"/>
    </xf>
    <xf numFmtId="38" fontId="6" fillId="2" borderId="1" xfId="0" applyNumberFormat="1" applyFont="1" applyFill="1" applyBorder="1" applyAlignment="1">
      <alignment horizontal="right" vertical="center" readingOrder="2"/>
    </xf>
    <xf numFmtId="38" fontId="6" fillId="2" borderId="1" xfId="0" applyNumberFormat="1" applyFont="1" applyFill="1" applyBorder="1" applyAlignment="1">
      <alignment horizontal="center" vertical="center" readingOrder="2"/>
    </xf>
    <xf numFmtId="38" fontId="7" fillId="2" borderId="0" xfId="0" applyNumberFormat="1" applyFont="1" applyFill="1" applyBorder="1" applyAlignment="1">
      <alignment horizontal="right" vertical="center"/>
    </xf>
    <xf numFmtId="38" fontId="7" fillId="2" borderId="0" xfId="0" applyNumberFormat="1" applyFont="1" applyFill="1" applyBorder="1" applyAlignment="1">
      <alignment horizontal="center" vertical="center"/>
    </xf>
    <xf numFmtId="38" fontId="1" fillId="2" borderId="0" xfId="0" applyNumberFormat="1" applyFont="1" applyFill="1" applyBorder="1" applyAlignment="1">
      <alignment vertical="center"/>
    </xf>
    <xf numFmtId="38" fontId="1" fillId="2" borderId="1" xfId="0" applyNumberFormat="1" applyFont="1" applyFill="1" applyBorder="1" applyAlignment="1">
      <alignment vertical="center"/>
    </xf>
    <xf numFmtId="38" fontId="6" fillId="2" borderId="0" xfId="0" applyNumberFormat="1" applyFont="1" applyFill="1" applyBorder="1" applyAlignment="1">
      <alignment vertical="center" readingOrder="2"/>
    </xf>
    <xf numFmtId="38" fontId="6" fillId="2" borderId="2" xfId="0" applyNumberFormat="1" applyFont="1" applyFill="1" applyBorder="1" applyAlignment="1">
      <alignment horizontal="center" vertical="center" readingOrder="2"/>
    </xf>
    <xf numFmtId="38" fontId="6" fillId="2" borderId="0" xfId="0" applyNumberFormat="1" applyFont="1" applyFill="1" applyBorder="1" applyAlignment="1">
      <alignment horizontal="center" vertical="center" readingOrder="2"/>
    </xf>
    <xf numFmtId="38" fontId="6" fillId="2" borderId="1" xfId="0" applyNumberFormat="1" applyFont="1" applyFill="1" applyBorder="1" applyAlignment="1">
      <alignment vertical="center" readingOrder="2"/>
    </xf>
    <xf numFmtId="38" fontId="8" fillId="2" borderId="0" xfId="0" applyNumberFormat="1" applyFont="1" applyFill="1" applyBorder="1" applyAlignment="1">
      <alignment horizontal="right" vertical="center" readingOrder="1"/>
    </xf>
    <xf numFmtId="38" fontId="8" fillId="2" borderId="0" xfId="0" applyNumberFormat="1" applyFont="1" applyFill="1" applyBorder="1" applyAlignment="1">
      <alignment horizontal="right" vertical="center" readingOrder="2"/>
    </xf>
    <xf numFmtId="38" fontId="8" fillId="2" borderId="0" xfId="0" applyNumberFormat="1" applyFont="1" applyFill="1" applyBorder="1" applyAlignment="1">
      <alignment horizontal="center" vertical="center" readingOrder="2"/>
    </xf>
    <xf numFmtId="38" fontId="6" fillId="2" borderId="3" xfId="0" applyNumberFormat="1" applyFont="1" applyFill="1" applyBorder="1" applyAlignment="1">
      <alignment horizontal="center" vertical="center" readingOrder="2"/>
    </xf>
    <xf numFmtId="38" fontId="1" fillId="2" borderId="0" xfId="0" applyNumberFormat="1" applyFont="1" applyFill="1" applyBorder="1" applyAlignment="1">
      <alignment horizontal="center" vertical="center"/>
    </xf>
    <xf numFmtId="38" fontId="1" fillId="2" borderId="1" xfId="0" applyNumberFormat="1" applyFont="1" applyFill="1" applyBorder="1" applyAlignment="1">
      <alignment horizontal="center" vertical="center"/>
    </xf>
    <xf numFmtId="38" fontId="1" fillId="2" borderId="1" xfId="0" applyNumberFormat="1" applyFont="1" applyFill="1" applyBorder="1" applyAlignment="1">
      <alignment horizontal="right" vertical="center"/>
    </xf>
    <xf numFmtId="38" fontId="1" fillId="2" borderId="3" xfId="0" applyNumberFormat="1" applyFont="1" applyFill="1" applyBorder="1" applyAlignment="1">
      <alignment horizontal="center" vertical="center"/>
    </xf>
    <xf numFmtId="38" fontId="12" fillId="2" borderId="0" xfId="0" applyNumberFormat="1" applyFont="1" applyFill="1" applyBorder="1"/>
    <xf numFmtId="38" fontId="12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 readingOrder="2"/>
    </xf>
    <xf numFmtId="38" fontId="12" fillId="2" borderId="1" xfId="0" applyNumberFormat="1" applyFont="1" applyFill="1" applyBorder="1" applyAlignment="1">
      <alignment vertical="center"/>
    </xf>
    <xf numFmtId="38" fontId="12" fillId="2" borderId="1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right" vertical="center" readingOrder="1"/>
    </xf>
    <xf numFmtId="38" fontId="7" fillId="2" borderId="0" xfId="0" applyNumberFormat="1" applyFont="1" applyFill="1" applyBorder="1" applyAlignment="1">
      <alignment horizontal="right" vertical="center" readingOrder="2"/>
    </xf>
    <xf numFmtId="38" fontId="7" fillId="2" borderId="0" xfId="0" applyNumberFormat="1" applyFont="1" applyFill="1" applyBorder="1" applyAlignment="1">
      <alignment horizontal="center" vertical="center" readingOrder="2"/>
    </xf>
    <xf numFmtId="38" fontId="10" fillId="2" borderId="0" xfId="0" applyNumberFormat="1" applyFont="1" applyFill="1" applyBorder="1" applyAlignment="1">
      <alignment vertical="center" readingOrder="2"/>
    </xf>
    <xf numFmtId="38" fontId="1" fillId="2" borderId="0" xfId="0" applyNumberFormat="1" applyFont="1" applyFill="1" applyBorder="1" applyAlignment="1">
      <alignment horizontal="right" vertical="center"/>
    </xf>
    <xf numFmtId="38" fontId="12" fillId="2" borderId="0" xfId="0" applyNumberFormat="1" applyFont="1" applyFill="1" applyBorder="1" applyAlignment="1">
      <alignment horizontal="center" vertical="center" readingOrder="2"/>
    </xf>
    <xf numFmtId="38" fontId="12" fillId="2" borderId="1" xfId="0" applyNumberFormat="1" applyFont="1" applyFill="1" applyBorder="1" applyAlignment="1">
      <alignment vertical="center" readingOrder="2"/>
    </xf>
    <xf numFmtId="38" fontId="12" fillId="2" borderId="0" xfId="0" applyNumberFormat="1" applyFont="1" applyFill="1" applyBorder="1" applyAlignment="1">
      <alignment horizontal="center"/>
    </xf>
    <xf numFmtId="38" fontId="12" fillId="2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right" vertical="center"/>
    </xf>
    <xf numFmtId="3" fontId="7" fillId="2" borderId="0" xfId="0" applyNumberFormat="1" applyFont="1" applyFill="1" applyBorder="1" applyAlignment="1">
      <alignment horizontal="right" vertical="center"/>
    </xf>
    <xf numFmtId="40" fontId="7" fillId="2" borderId="0" xfId="0" applyNumberFormat="1" applyFont="1" applyFill="1" applyBorder="1" applyAlignment="1">
      <alignment horizontal="center" vertical="center"/>
    </xf>
    <xf numFmtId="40" fontId="12" fillId="2" borderId="0" xfId="0" applyNumberFormat="1" applyFont="1" applyFill="1" applyBorder="1" applyAlignment="1">
      <alignment vertical="center"/>
    </xf>
    <xf numFmtId="38" fontId="7" fillId="2" borderId="4" xfId="0" applyNumberFormat="1" applyFont="1" applyFill="1" applyBorder="1" applyAlignment="1">
      <alignment horizontal="center" vertical="center"/>
    </xf>
    <xf numFmtId="40" fontId="7" fillId="2" borderId="4" xfId="0" applyNumberFormat="1" applyFont="1" applyFill="1" applyBorder="1" applyAlignment="1">
      <alignment horizontal="center" vertical="center"/>
    </xf>
    <xf numFmtId="40" fontId="12" fillId="2" borderId="0" xfId="0" applyNumberFormat="1" applyFont="1" applyFill="1" applyBorder="1" applyAlignment="1">
      <alignment horizontal="center" vertical="center"/>
    </xf>
    <xf numFmtId="38" fontId="14" fillId="2" borderId="0" xfId="0" applyNumberFormat="1" applyFont="1" applyFill="1" applyBorder="1"/>
    <xf numFmtId="40" fontId="7" fillId="2" borderId="0" xfId="0" applyNumberFormat="1" applyFont="1" applyFill="1" applyBorder="1" applyAlignment="1">
      <alignment horizontal="center" vertical="center" readingOrder="2"/>
    </xf>
    <xf numFmtId="38" fontId="14" fillId="2" borderId="0" xfId="0" applyNumberFormat="1" applyFont="1" applyFill="1" applyBorder="1" applyAlignment="1">
      <alignment horizontal="center"/>
    </xf>
    <xf numFmtId="38" fontId="14" fillId="2" borderId="0" xfId="0" applyNumberFormat="1" applyFont="1" applyFill="1" applyBorder="1" applyAlignment="1">
      <alignment horizontal="center" vertical="center"/>
    </xf>
    <xf numFmtId="38" fontId="1" fillId="2" borderId="0" xfId="0" applyNumberFormat="1" applyFont="1" applyFill="1" applyBorder="1" applyAlignment="1">
      <alignment horizontal="center" vertical="center"/>
    </xf>
    <xf numFmtId="38" fontId="1" fillId="2" borderId="1" xfId="0" applyNumberFormat="1" applyFont="1" applyFill="1" applyBorder="1" applyAlignment="1">
      <alignment horizontal="center" vertical="center"/>
    </xf>
    <xf numFmtId="38" fontId="1" fillId="2" borderId="0" xfId="0" applyNumberFormat="1" applyFont="1" applyFill="1" applyBorder="1" applyAlignment="1">
      <alignment vertical="center"/>
    </xf>
    <xf numFmtId="38" fontId="1" fillId="2" borderId="3" xfId="0" applyNumberFormat="1" applyFont="1" applyFill="1" applyBorder="1" applyAlignment="1">
      <alignment horizontal="center" vertical="center"/>
    </xf>
    <xf numFmtId="40" fontId="12" fillId="2" borderId="1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 readingOrder="2"/>
    </xf>
    <xf numFmtId="0" fontId="7" fillId="2" borderId="0" xfId="0" applyNumberFormat="1" applyFont="1" applyFill="1" applyBorder="1" applyAlignment="1">
      <alignment horizontal="center" vertical="center"/>
    </xf>
    <xf numFmtId="38" fontId="1" fillId="2" borderId="1" xfId="0" applyNumberFormat="1" applyFont="1" applyFill="1" applyBorder="1" applyAlignment="1">
      <alignment horizontal="center" vertical="center"/>
    </xf>
    <xf numFmtId="38" fontId="1" fillId="2" borderId="0" xfId="0" applyNumberFormat="1" applyFont="1" applyFill="1" applyBorder="1" applyAlignment="1">
      <alignment vertical="center"/>
    </xf>
    <xf numFmtId="38" fontId="6" fillId="2" borderId="3" xfId="0" applyNumberFormat="1" applyFont="1" applyFill="1" applyBorder="1" applyAlignment="1">
      <alignment horizontal="center" vertical="center" readingOrder="2"/>
    </xf>
    <xf numFmtId="40" fontId="6" fillId="2" borderId="3" xfId="0" applyNumberFormat="1" applyFont="1" applyFill="1" applyBorder="1" applyAlignment="1">
      <alignment horizontal="center" vertical="center" readingOrder="2"/>
    </xf>
    <xf numFmtId="40" fontId="1" fillId="2" borderId="0" xfId="0" applyNumberFormat="1" applyFont="1" applyFill="1" applyBorder="1" applyAlignment="1">
      <alignment vertical="center"/>
    </xf>
    <xf numFmtId="40" fontId="8" fillId="2" borderId="0" xfId="0" applyNumberFormat="1" applyFont="1" applyFill="1" applyBorder="1" applyAlignment="1">
      <alignment horizontal="center" vertical="center" readingOrder="2"/>
    </xf>
    <xf numFmtId="38" fontId="15" fillId="2" borderId="0" xfId="0" applyNumberFormat="1" applyFont="1" applyFill="1" applyBorder="1" applyAlignment="1">
      <alignment vertical="center"/>
    </xf>
    <xf numFmtId="38" fontId="15" fillId="2" borderId="0" xfId="0" applyNumberFormat="1" applyFont="1" applyFill="1" applyBorder="1"/>
    <xf numFmtId="38" fontId="4" fillId="2" borderId="0" xfId="0" applyNumberFormat="1" applyFont="1" applyFill="1" applyBorder="1" applyAlignment="1">
      <alignment horizontal="center" vertical="center"/>
    </xf>
    <xf numFmtId="38" fontId="1" fillId="2" borderId="0" xfId="0" applyNumberFormat="1" applyFont="1" applyFill="1" applyBorder="1" applyAlignment="1">
      <alignment horizontal="center" vertical="center"/>
    </xf>
    <xf numFmtId="38" fontId="3" fillId="2" borderId="0" xfId="0" applyNumberFormat="1" applyFont="1" applyFill="1" applyBorder="1" applyAlignment="1">
      <alignment horizontal="center" vertical="top"/>
    </xf>
    <xf numFmtId="38" fontId="3" fillId="2" borderId="0" xfId="0" applyNumberFormat="1" applyFont="1" applyFill="1" applyBorder="1" applyAlignment="1">
      <alignment horizontal="center" vertical="top" wrapText="1"/>
    </xf>
    <xf numFmtId="38" fontId="2" fillId="2" borderId="0" xfId="0" applyNumberFormat="1" applyFont="1" applyFill="1" applyBorder="1" applyAlignment="1">
      <alignment horizontal="center"/>
    </xf>
    <xf numFmtId="38" fontId="12" fillId="2" borderId="1" xfId="0" applyNumberFormat="1" applyFont="1" applyFill="1" applyBorder="1" applyAlignment="1">
      <alignment horizontal="center" vertical="center" readingOrder="2"/>
    </xf>
    <xf numFmtId="38" fontId="12" fillId="2" borderId="2" xfId="0" applyNumberFormat="1" applyFont="1" applyFill="1" applyBorder="1" applyAlignment="1">
      <alignment horizontal="center" vertical="center" readingOrder="2"/>
    </xf>
    <xf numFmtId="38" fontId="12" fillId="2" borderId="2" xfId="0" applyNumberFormat="1" applyFont="1" applyFill="1" applyBorder="1" applyAlignment="1">
      <alignment horizontal="center" vertical="center" wrapText="1" readingOrder="2"/>
    </xf>
    <xf numFmtId="40" fontId="12" fillId="2" borderId="2" xfId="0" applyNumberFormat="1" applyFont="1" applyFill="1" applyBorder="1" applyAlignment="1">
      <alignment horizontal="center" vertical="center" wrapText="1" readingOrder="2"/>
    </xf>
    <xf numFmtId="40" fontId="12" fillId="2" borderId="1" xfId="0" applyNumberFormat="1" applyFont="1" applyFill="1" applyBorder="1" applyAlignment="1">
      <alignment horizontal="center" vertical="center" readingOrder="2"/>
    </xf>
    <xf numFmtId="38" fontId="12" fillId="2" borderId="0" xfId="0" applyNumberFormat="1" applyFont="1" applyFill="1" applyBorder="1" applyAlignment="1">
      <alignment horizontal="center" vertical="center"/>
    </xf>
    <xf numFmtId="38" fontId="12" fillId="2" borderId="0" xfId="0" applyNumberFormat="1" applyFont="1" applyFill="1" applyBorder="1" applyAlignment="1">
      <alignment horizontal="center" vertical="center" readingOrder="2"/>
    </xf>
    <xf numFmtId="38" fontId="12" fillId="2" borderId="2" xfId="0" applyNumberFormat="1" applyFont="1" applyFill="1" applyBorder="1" applyAlignment="1">
      <alignment horizontal="center" vertical="center"/>
    </xf>
    <xf numFmtId="38" fontId="13" fillId="2" borderId="0" xfId="0" applyNumberFormat="1" applyFont="1" applyFill="1" applyBorder="1" applyAlignment="1">
      <alignment horizontal="right" vertical="center" readingOrder="2"/>
    </xf>
    <xf numFmtId="38" fontId="12" fillId="2" borderId="1" xfId="0" applyNumberFormat="1" applyFont="1" applyFill="1" applyBorder="1" applyAlignment="1">
      <alignment horizontal="center" vertical="center"/>
    </xf>
    <xf numFmtId="38" fontId="12" fillId="2" borderId="2" xfId="0" applyNumberFormat="1" applyFont="1" applyFill="1" applyBorder="1" applyAlignment="1">
      <alignment horizontal="center" vertical="center" wrapText="1"/>
    </xf>
    <xf numFmtId="38" fontId="12" fillId="2" borderId="0" xfId="0" applyNumberFormat="1" applyFont="1" applyFill="1" applyBorder="1" applyAlignment="1">
      <alignment horizontal="center" vertical="center" wrapText="1"/>
    </xf>
    <xf numFmtId="38" fontId="9" fillId="2" borderId="0" xfId="0" applyNumberFormat="1" applyFont="1" applyFill="1" applyBorder="1" applyAlignment="1">
      <alignment horizontal="center" vertical="center"/>
    </xf>
    <xf numFmtId="38" fontId="10" fillId="2" borderId="0" xfId="0" applyNumberFormat="1" applyFont="1" applyFill="1" applyBorder="1" applyAlignment="1">
      <alignment horizontal="right" vertical="center" readingOrder="2"/>
    </xf>
    <xf numFmtId="40" fontId="12" fillId="2" borderId="2" xfId="0" applyNumberFormat="1" applyFont="1" applyFill="1" applyBorder="1" applyAlignment="1">
      <alignment horizontal="center" vertical="center" readingOrder="2"/>
    </xf>
    <xf numFmtId="40" fontId="12" fillId="2" borderId="0" xfId="0" applyNumberFormat="1" applyFont="1" applyFill="1" applyBorder="1" applyAlignment="1">
      <alignment horizontal="center" vertical="center" readingOrder="2"/>
    </xf>
    <xf numFmtId="38" fontId="11" fillId="2" borderId="1" xfId="0" applyNumberFormat="1" applyFont="1" applyFill="1" applyBorder="1" applyAlignment="1">
      <alignment horizontal="center" vertical="center" readingOrder="2"/>
    </xf>
    <xf numFmtId="38" fontId="1" fillId="2" borderId="1" xfId="0" applyNumberFormat="1" applyFont="1" applyFill="1" applyBorder="1" applyAlignment="1">
      <alignment horizontal="center" vertical="center"/>
    </xf>
    <xf numFmtId="38" fontId="6" fillId="2" borderId="2" xfId="0" applyNumberFormat="1" applyFont="1" applyFill="1" applyBorder="1" applyAlignment="1">
      <alignment horizontal="center" vertical="center" readingOrder="2"/>
    </xf>
    <xf numFmtId="38" fontId="6" fillId="2" borderId="0" xfId="0" applyNumberFormat="1" applyFont="1" applyFill="1" applyBorder="1" applyAlignment="1">
      <alignment horizontal="center" vertical="center" readingOrder="2"/>
    </xf>
    <xf numFmtId="38" fontId="6" fillId="2" borderId="1" xfId="0" applyNumberFormat="1" applyFont="1" applyFill="1" applyBorder="1" applyAlignment="1">
      <alignment horizontal="center" vertical="center" readingOrder="2"/>
    </xf>
    <xf numFmtId="38" fontId="5" fillId="2" borderId="0" xfId="0" applyNumberFormat="1" applyFont="1" applyFill="1" applyBorder="1" applyAlignment="1">
      <alignment horizontal="right" vertical="center" readingOrder="2"/>
    </xf>
    <xf numFmtId="38" fontId="1" fillId="2" borderId="2" xfId="0" applyNumberFormat="1" applyFont="1" applyFill="1" applyBorder="1" applyAlignment="1">
      <alignment vertical="center"/>
    </xf>
    <xf numFmtId="38" fontId="1" fillId="2" borderId="0" xfId="0" applyNumberFormat="1" applyFont="1" applyFill="1" applyBorder="1" applyAlignment="1">
      <alignment vertical="center"/>
    </xf>
    <xf numFmtId="38" fontId="1" fillId="2" borderId="3" xfId="0" applyNumberFormat="1" applyFont="1" applyFill="1" applyBorder="1" applyAlignment="1">
      <alignment horizontal="center" vertical="center"/>
    </xf>
    <xf numFmtId="38" fontId="6" fillId="2" borderId="3" xfId="0" applyNumberFormat="1" applyFont="1" applyFill="1" applyBorder="1" applyAlignment="1">
      <alignment horizontal="center" vertical="center" readingOrder="2"/>
    </xf>
    <xf numFmtId="3" fontId="1" fillId="2" borderId="8" xfId="1" applyNumberFormat="1" applyFont="1" applyFill="1" applyBorder="1" applyAlignment="1">
      <alignment horizontal="center" vertical="center"/>
    </xf>
    <xf numFmtId="2" fontId="18" fillId="2" borderId="8" xfId="0" applyNumberFormat="1" applyFont="1" applyFill="1" applyBorder="1" applyAlignment="1">
      <alignment horizontal="center"/>
    </xf>
    <xf numFmtId="2" fontId="18" fillId="2" borderId="8" xfId="2" applyNumberFormat="1" applyFont="1" applyFill="1" applyBorder="1" applyAlignment="1">
      <alignment horizontal="center"/>
    </xf>
    <xf numFmtId="2" fontId="18" fillId="3" borderId="8" xfId="0" applyNumberFormat="1" applyFont="1" applyFill="1" applyBorder="1" applyAlignment="1">
      <alignment horizontal="center"/>
    </xf>
    <xf numFmtId="2" fontId="18" fillId="3" borderId="8" xfId="2" applyNumberFormat="1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right" vertical="center"/>
    </xf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/>
    <xf numFmtId="0" fontId="1" fillId="2" borderId="9" xfId="0" applyNumberFormat="1" applyFont="1" applyFill="1" applyBorder="1" applyAlignment="1">
      <alignment horizontal="center"/>
    </xf>
    <xf numFmtId="0" fontId="19" fillId="4" borderId="5" xfId="0" applyFont="1" applyFill="1" applyBorder="1" applyAlignment="1" applyProtection="1">
      <alignment horizontal="center" wrapText="1"/>
      <protection locked="0"/>
    </xf>
    <xf numFmtId="0" fontId="19" fillId="4" borderId="6" xfId="0" applyFont="1" applyFill="1" applyBorder="1" applyAlignment="1" applyProtection="1">
      <alignment horizontal="center"/>
      <protection locked="0"/>
    </xf>
    <xf numFmtId="0" fontId="19" fillId="4" borderId="7" xfId="0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23">
    <dxf>
      <numFmt numFmtId="6" formatCode="#,##0_);[Red]\(#,##0\)"/>
    </dxf>
    <dxf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numFmt numFmtId="8" formatCode="#,##0.00_);[Red]\(#,##0.00\)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/>
    </dxf>
    <dxf>
      <alignment horizontal="center" vertical="center" textRotation="0" wrapText="0" indent="0" justifyLastLine="0" shrinkToFit="0"/>
    </dxf>
    <dxf>
      <alignment horizontal="center" vertical="center" textRotation="0" wrapText="0" indent="0" justifyLastLine="0" shrinkToFit="0"/>
    </dxf>
    <dxf>
      <numFmt numFmtId="8" formatCode="#,##0.00_);[Red]\(#,##0.00\)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numFmt numFmtId="8" formatCode="#,##0.00_);[Red]\(#,##0.00\)"/>
    </dxf>
    <dxf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8" formatCode="#,##0.00_);[Red]\(#,##0.00\)"/>
    </dxf>
    <dxf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numFmt numFmtId="8" formatCode="#,##0.00_);[Red]\(#,##0.0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195195</xdr:colOff>
      <xdr:row>3</xdr:row>
      <xdr:rowOff>50359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272005" y="361950"/>
          <a:ext cx="1414395" cy="7742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0</xdr:col>
      <xdr:colOff>1414395</xdr:colOff>
      <xdr:row>3</xdr:row>
      <xdr:rowOff>12259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206205" y="95250"/>
          <a:ext cx="1414395" cy="7742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1414395</xdr:colOff>
      <xdr:row>2</xdr:row>
      <xdr:rowOff>202759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653505" y="0"/>
          <a:ext cx="1414395" cy="7742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700020</xdr:colOff>
      <xdr:row>2</xdr:row>
      <xdr:rowOff>202759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2355" y="0"/>
          <a:ext cx="1414395" cy="77425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1414395</xdr:colOff>
      <xdr:row>2</xdr:row>
      <xdr:rowOff>202759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881980" y="0"/>
          <a:ext cx="1414395" cy="77425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1420491</xdr:colOff>
      <xdr:row>1</xdr:row>
      <xdr:rowOff>256481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55283509" y="0"/>
          <a:ext cx="1420491" cy="7803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1414395</xdr:colOff>
      <xdr:row>3</xdr:row>
      <xdr:rowOff>2734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101180" y="0"/>
          <a:ext cx="1414395" cy="7742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1414395</xdr:colOff>
      <xdr:row>2</xdr:row>
      <xdr:rowOff>126559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348580" y="0"/>
          <a:ext cx="1414395" cy="7742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42795</xdr:colOff>
      <xdr:row>2</xdr:row>
      <xdr:rowOff>126559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357855" y="0"/>
          <a:ext cx="1414395" cy="7742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1414395</xdr:colOff>
      <xdr:row>2</xdr:row>
      <xdr:rowOff>127278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8978" y="0"/>
          <a:ext cx="1414395" cy="7742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1414395</xdr:colOff>
      <xdr:row>2</xdr:row>
      <xdr:rowOff>127278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30747" y="0"/>
          <a:ext cx="1414395" cy="7742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1414395</xdr:colOff>
      <xdr:row>2</xdr:row>
      <xdr:rowOff>199165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4671242" y="0"/>
          <a:ext cx="1414395" cy="7742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1414395</xdr:colOff>
      <xdr:row>2</xdr:row>
      <xdr:rowOff>126559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2606130" y="0"/>
          <a:ext cx="1414395" cy="7742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1414395</xdr:colOff>
      <xdr:row>2</xdr:row>
      <xdr:rowOff>126559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758655" y="0"/>
          <a:ext cx="1414395" cy="7742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589;&#1606;&#1583;&#1608;&#1602;%20&#1576;&#1575;&#1586;&#1575;&#1585;&#1711;&#1585;&#1583;&#1575;&#1606;&#1740;\&#1705;&#1601;&#1575;&#1740;&#1578;%20&#1587;&#1585;&#1605;&#1575;&#1740;&#1607;\14010231\1401-02-31-&#1705;&#1601;&#1575;&#1740;&#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یز محاسبات"/>
      <sheetName val="جدول نسبت ها"/>
      <sheetName val="Sheet2"/>
    </sheetNames>
    <sheetDataSet>
      <sheetData sheetId="0">
        <row r="1">
          <cell r="A1" t="str">
            <v>نسبت های کفایت سرمایۀ صندوق سرمایه گذاری اختصاصی بازارگردانی صبا گستر نفت و گاز تامین در تاریخ 1401/02/31</v>
          </cell>
        </row>
        <row r="83">
          <cell r="E83">
            <v>82858731</v>
          </cell>
          <cell r="F83">
            <v>56626692.300000004</v>
          </cell>
          <cell r="G83">
            <v>74930505.700000003</v>
          </cell>
        </row>
        <row r="166">
          <cell r="E166">
            <v>0</v>
          </cell>
          <cell r="F166">
            <v>0</v>
          </cell>
          <cell r="G166">
            <v>0</v>
          </cell>
        </row>
        <row r="182">
          <cell r="E182">
            <v>2027739</v>
          </cell>
          <cell r="F182">
            <v>1622473.2</v>
          </cell>
          <cell r="G182">
            <v>1419840.3</v>
          </cell>
        </row>
        <row r="194">
          <cell r="E194">
            <v>0</v>
          </cell>
          <cell r="F194">
            <v>0</v>
          </cell>
          <cell r="G194">
            <v>0</v>
          </cell>
        </row>
        <row r="254">
          <cell r="E254">
            <v>1489310</v>
          </cell>
          <cell r="F254">
            <v>744655</v>
          </cell>
          <cell r="G254">
            <v>7446550</v>
          </cell>
        </row>
      </sheetData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le1" ref="A10:N95" headerRowCount="0">
  <tableColumns count="14">
    <tableColumn id="1" name="کشت و دامداری فکا (زفکا)"/>
    <tableColumn id="2" name="18683099"/>
    <tableColumn id="3" name="197712663702.0000"/>
    <tableColumn id="4" name="158125581688.0000"/>
    <tableColumn id="5" name="613628"/>
    <tableColumn id="6" name="6081028767"/>
    <tableColumn id="7" name="1416491"/>
    <tableColumn id="8" name="14957392342"/>
    <tableColumn id="9" name="17880236"/>
    <tableColumn id="10" name="11,310"/>
    <tableColumn id="11" name="188836300127.0000"/>
    <tableColumn id="12" name="202071777805.0000"/>
    <tableColumn id="13" name="0.25" dataDxfId="22"/>
    <tableColumn id="18" name="Column1" dataDxfId="21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9" name="Table9" displayName="Table9" ref="A10:I29" headerRowCount="0">
  <tableColumns count="9">
    <tableColumn id="1" name="اسنادخزانه-م4بودجه00-030522 (اخزا004)"/>
    <tableColumn id="2" name="0"/>
    <tableColumn id="3" name="Column3"/>
    <tableColumn id="4" name="Column4"/>
    <tableColumn id="5" name="Column5" dataDxfId="1">
      <calculatedColumnFormula>Table9[[#This Row],[0]]+Table9[[#This Row],[Column3]]+Table9[[#This Row],[Column4]]</calculatedColumnFormula>
    </tableColumn>
    <tableColumn id="6" name="Column6"/>
    <tableColumn id="7" name="Column7"/>
    <tableColumn id="8" name="11183974.0000"/>
    <tableColumn id="9" name="Column9" dataDxfId="0">
      <calculatedColumnFormula>Table9[[#This Row],[11183974.0000]]+Table9[[#This Row],[Column7]]+Table9[[#This Row],[Column6]]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0" name="Table10" displayName="Table10" ref="A9:E87" headerRowCount="0">
  <tableColumns count="5">
    <tableColumn id="1" name="رفاه-تاپیکو"/>
    <tableColumn id="3" name="13357645"/>
    <tableColumn id="4" name="Column4"/>
    <tableColumn id="5" name="25853506"/>
    <tableColumn id="6" name="Column6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8:C9" headerRowCount="0">
  <tableColumns count="3">
    <tableColumn id="1" name="سایر درآمدها"/>
    <tableColumn id="2" name="15466640270.0000"/>
    <tableColumn id="3" name="44378800670.000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9:T19" headerRowCount="0">
  <tableColumns count="20">
    <tableColumn id="1" name="منفعت دولت7-ش.خاص نوین0204 (افاد73)"/>
    <tableColumn id="2" name="بلی"/>
    <tableColumn id="3" name="Column3"/>
    <tableColumn id="4" name="1398/10/11"/>
    <tableColumn id="5" name="1402/04/11"/>
    <tableColumn id="6" name="1000000.0000"/>
    <tableColumn id="7" name="17.90"/>
    <tableColumn id="8" name="0"/>
    <tableColumn id="9" name="Column9"/>
    <tableColumn id="10" name="Column10"/>
    <tableColumn id="11" name="1000000"/>
    <tableColumn id="12" name="1000160000000"/>
    <tableColumn id="13" name="Column13"/>
    <tableColumn id="14" name="Column14"/>
    <tableColumn id="15" name="Column15"/>
    <tableColumn id="16" name="1,000,126"/>
    <tableColumn id="17" name="Column17" dataDxfId="20"/>
    <tableColumn id="18" name="999401240000"/>
    <tableColumn id="19" name="1.23" dataDxfId="19"/>
    <tableColumn id="21" name="Column1" dataDxfId="18">
      <calculatedColumnFormula>' سهام و صندوق‌های سرمایه‌گذاری'!N10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9:I89" headerRowCount="0">
  <tableColumns count="9">
    <tableColumn id="1" name="پلوله"/>
    <tableColumn id="2" name="323480858"/>
    <tableColumn id="3" name="سپرده سرمایه‌گذاری"/>
    <tableColumn id="6" name="7200300997.0000"/>
    <tableColumn id="7" name="29911541054.0000"/>
    <tableColumn id="8" name="30009523562.0000"/>
    <tableColumn id="9" name="7102318489.0000" dataDxfId="17">
      <calculatedColumnFormula>Table3[[#This Row],[7200300997.0000]]-Table3[[#This Row],[30009523562.0000]]+Table3[[#This Row],[29911541054.0000]]</calculatedColumnFormula>
    </tableColumn>
    <tableColumn id="10" name="0.01" dataDxfId="16">
      <calculatedColumnFormula>(Table3[[#This Row],[7102318489.0000]]/Table3[[#This Row],[Column1]])*100</calculatedColumnFormula>
    </tableColumn>
    <tableColumn id="4" name="Column1" dataDxfId="15">
      <calculatedColumnFormula>' سهام و صندوق‌های سرمایه‌گذاری'!N10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1" name="Table11" displayName="Table11" ref="A6:E10" headerRowCount="0">
  <tableColumns count="5">
    <tableColumn id="1" name="درآمد حاصل از سرمایه­گذاری در سهام و حق تقدم سهام و صندوق‌های سرمایه‌گذاری"/>
    <tableColumn id="2" name="1-2"/>
    <tableColumn id="3" name="4064846521314.0000"/>
    <tableColumn id="4" name="96.81" dataDxfId="14">
      <calculatedColumnFormula>(Table11[[#This Row],[4064846521314.0000]]/C10)*100</calculatedColumnFormula>
    </tableColumn>
    <tableColumn id="5" name="5.18" dataDxfId="13">
      <calculatedColumnFormula>(Table11[[#This Row],[4064846521314.0000]]/D12)*100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7:J29" headerRowCount="0">
  <tableColumns count="10">
    <tableColumn id="1" name="سیمان ارومیه (ساروم)"/>
    <tableColumn id="2" name="1401/02/10"/>
    <tableColumn id="3" name="571425.0000"/>
    <tableColumn id="4" name="6130.0000"/>
    <tableColumn id="5" name="3502835250"/>
    <tableColumn id="6" name="-144897322"/>
    <tableColumn id="7" name="3357937928"/>
    <tableColumn id="8" name="Column8"/>
    <tableColumn id="9" name="Column9"/>
    <tableColumn id="10" name="Column1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7:J95" headerRowCount="0">
  <tableColumns count="10">
    <tableColumn id="1" name="اجاره صبا تامین14040125 (صبا1404)"/>
    <tableColumn id="2" name="1404/01/28" dataDxfId="12"/>
    <tableColumn id="3" name="Column3" dataDxfId="11"/>
    <tableColumn id="4" name="18.00" dataDxfId="10"/>
    <tableColumn id="5" name="59624695013"/>
    <tableColumn id="6" name="0"/>
    <tableColumn id="7" name="Column7"/>
    <tableColumn id="8" name="126125123440"/>
    <tableColumn id="9" name="Column9"/>
    <tableColumn id="10" name="Column10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7:K102" headerRowCount="0">
  <tableColumns count="11">
    <tableColumn id="1" name="پارس الکتریک (لپارس)"/>
    <tableColumn id="2" name="1264045"/>
    <tableColumn id="3" name="147908075376"/>
    <tableColumn id="10" name="Column1" dataDxfId="9">
      <calculatedColumnFormula>-1*Table6[[#This Row],[-120169268207.0000]]</calculatedColumnFormula>
    </tableColumn>
    <tableColumn id="4" name="-120169268207.0000"/>
    <tableColumn id="5" name="27738807169.0000"/>
    <tableColumn id="6" name="1380156"/>
    <tableColumn id="7" name="159506435274"/>
    <tableColumn id="11" name="Column2" dataDxfId="8">
      <calculatedColumnFormula>-1*Table6[[#This Row],[-131191689116.0000]]</calculatedColumnFormula>
    </tableColumn>
    <tableColumn id="8" name="-131191689116.0000"/>
    <tableColumn id="9" name="28314746158.0000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7" name="Table7" displayName="Table7" ref="A7:K103" headerRowCount="0">
  <tableColumns count="11">
    <tableColumn id="1" name="کشت و دامداری فکا (زفکا)"/>
    <tableColumn id="2" name="17880236"/>
    <tableColumn id="3" name="202071777805.0000"/>
    <tableColumn id="10" name="Column1" dataDxfId="7">
      <calculatedColumnFormula>-1*Table7[[#This Row],[-153339638086.0000]]</calculatedColumnFormula>
    </tableColumn>
    <tableColumn id="4" name="-153339638086.0000"/>
    <tableColumn id="5" name="48732139719"/>
    <tableColumn id="6" name="Column6"/>
    <tableColumn id="7" name="Column7"/>
    <tableColumn id="11" name="Column2" dataDxfId="6">
      <calculatedColumnFormula>-1*Table7[[#This Row],[-138030489769.0000]]</calculatedColumnFormula>
    </tableColumn>
    <tableColumn id="8" name="-138030489769.0000"/>
    <tableColumn id="9" name="64041288036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8" name="Table8" displayName="Table8" ref="A11:M100" headerRowCount="0">
  <tableColumns count="13">
    <tableColumn id="1" name="کشت و دامداری فکا (زفکا)"/>
    <tableColumn id="2" name="0"/>
    <tableColumn id="3" name="48732139719"/>
    <tableColumn id="4" name="3840644296.0000"/>
    <tableColumn id="5" name="52572784015.0000"/>
    <tableColumn id="6" name="1.25" dataDxfId="5"/>
    <tableColumn id="7" name="Column7"/>
    <tableColumn id="8" name="64041288036"/>
    <tableColumn id="9" name="4437903043.0000"/>
    <tableColumn id="10" name="68479191079.0000"/>
    <tableColumn id="11" name="0.51" dataDxfId="4"/>
    <tableColumn id="12" name="Column1" dataDxfId="3"/>
    <tableColumn id="13" name="Column2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8"/>
  <sheetViews>
    <sheetView rightToLeft="1" topLeftCell="B1" zoomScaleNormal="100" workbookViewId="0">
      <selection activeCell="I18" sqref="I18"/>
    </sheetView>
  </sheetViews>
  <sheetFormatPr defaultRowHeight="28.5" customHeight="1" x14ac:dyDescent="0.6"/>
  <cols>
    <col min="1" max="8" width="9.140625" style="1"/>
    <col min="9" max="9" width="69.28515625" style="1" customWidth="1"/>
    <col min="10" max="16384" width="9.140625" style="1"/>
  </cols>
  <sheetData>
    <row r="3" spans="1:17" ht="28.5" customHeight="1" x14ac:dyDescent="0.95">
      <c r="D3" s="66" t="s">
        <v>312</v>
      </c>
      <c r="E3" s="66"/>
      <c r="F3" s="66"/>
      <c r="G3" s="66"/>
      <c r="H3" s="66"/>
      <c r="I3" s="66"/>
    </row>
    <row r="5" spans="1:17" ht="28.5" customHeight="1" x14ac:dyDescent="0.6">
      <c r="A5" s="3"/>
      <c r="B5" s="3"/>
      <c r="C5" s="3"/>
      <c r="D5" s="3"/>
      <c r="E5" s="3"/>
      <c r="F5" s="3"/>
      <c r="G5" s="3"/>
      <c r="H5" s="3"/>
      <c r="I5" s="3"/>
      <c r="J5" s="2"/>
      <c r="K5" s="2"/>
      <c r="L5" s="2"/>
      <c r="M5" s="2"/>
      <c r="N5" s="2"/>
      <c r="O5" s="2"/>
      <c r="P5" s="2"/>
      <c r="Q5" s="2"/>
    </row>
    <row r="6" spans="1:17" ht="28.5" customHeight="1" x14ac:dyDescent="0.6">
      <c r="A6" s="3"/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2"/>
      <c r="N6" s="2"/>
      <c r="O6" s="2"/>
      <c r="P6" s="2"/>
      <c r="Q6" s="2"/>
    </row>
    <row r="7" spans="1:17" ht="28.5" customHeight="1" x14ac:dyDescent="0.6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2"/>
      <c r="K7" s="2"/>
      <c r="L7" s="2"/>
      <c r="M7" s="2"/>
      <c r="N7" s="2"/>
      <c r="O7" s="2"/>
      <c r="P7" s="2"/>
      <c r="Q7" s="2"/>
    </row>
    <row r="8" spans="1:17" ht="28.5" customHeight="1" x14ac:dyDescent="0.6">
      <c r="A8" s="64"/>
      <c r="B8" s="64"/>
      <c r="C8" s="64"/>
      <c r="D8" s="64"/>
      <c r="E8" s="64"/>
      <c r="F8" s="64"/>
      <c r="G8" s="64"/>
      <c r="H8" s="64"/>
      <c r="I8" s="64"/>
    </row>
    <row r="9" spans="1:17" ht="28.5" customHeight="1" x14ac:dyDescent="0.6">
      <c r="A9" s="65" t="s">
        <v>313</v>
      </c>
      <c r="B9" s="65"/>
      <c r="C9" s="65"/>
      <c r="D9" s="65"/>
      <c r="E9" s="65"/>
      <c r="F9" s="65"/>
      <c r="G9" s="65"/>
      <c r="H9" s="65"/>
      <c r="I9" s="65"/>
    </row>
    <row r="10" spans="1:17" ht="28.5" customHeight="1" x14ac:dyDescent="0.6">
      <c r="A10" s="65"/>
      <c r="B10" s="65"/>
      <c r="C10" s="65"/>
      <c r="D10" s="65"/>
      <c r="E10" s="65"/>
      <c r="F10" s="65"/>
      <c r="G10" s="65"/>
      <c r="H10" s="65"/>
      <c r="I10" s="65"/>
    </row>
    <row r="11" spans="1:17" ht="28.5" customHeight="1" x14ac:dyDescent="0.6">
      <c r="A11" s="65"/>
      <c r="B11" s="65"/>
      <c r="C11" s="65"/>
      <c r="D11" s="65"/>
      <c r="E11" s="65"/>
      <c r="F11" s="65"/>
      <c r="G11" s="65"/>
      <c r="H11" s="65"/>
      <c r="I11" s="65"/>
    </row>
    <row r="12" spans="1:17" ht="28.5" customHeight="1" x14ac:dyDescent="0.6">
      <c r="A12" s="65" t="s">
        <v>314</v>
      </c>
      <c r="B12" s="65"/>
      <c r="C12" s="65"/>
      <c r="D12" s="65"/>
      <c r="E12" s="65"/>
      <c r="F12" s="65"/>
      <c r="G12" s="65"/>
      <c r="H12" s="65"/>
      <c r="I12" s="65"/>
    </row>
    <row r="13" spans="1:17" ht="28.5" customHeight="1" x14ac:dyDescent="0.6">
      <c r="A13" s="65"/>
      <c r="B13" s="65"/>
      <c r="C13" s="65"/>
      <c r="D13" s="65"/>
      <c r="E13" s="65"/>
      <c r="F13" s="65"/>
      <c r="G13" s="65"/>
      <c r="H13" s="65"/>
      <c r="I13" s="65"/>
    </row>
    <row r="14" spans="1:17" ht="28.5" customHeight="1" x14ac:dyDescent="0.6">
      <c r="A14" s="65"/>
      <c r="B14" s="65"/>
      <c r="C14" s="65"/>
      <c r="D14" s="65"/>
      <c r="E14" s="65"/>
      <c r="F14" s="65"/>
      <c r="G14" s="65"/>
      <c r="H14" s="65"/>
      <c r="I14" s="65"/>
    </row>
    <row r="15" spans="1:17" ht="28.5" customHeight="1" x14ac:dyDescent="0.6">
      <c r="A15" s="65"/>
      <c r="B15" s="65"/>
      <c r="C15" s="65"/>
      <c r="D15" s="65"/>
      <c r="E15" s="65"/>
      <c r="F15" s="65"/>
      <c r="G15" s="65"/>
      <c r="H15" s="65"/>
      <c r="I15" s="65"/>
    </row>
    <row r="16" spans="1:17" ht="28.5" customHeight="1" x14ac:dyDescent="0.6">
      <c r="F16" s="62" t="s">
        <v>315</v>
      </c>
      <c r="G16" s="63"/>
      <c r="H16" s="63"/>
    </row>
    <row r="17" spans="6:8" ht="28.5" customHeight="1" x14ac:dyDescent="0.6">
      <c r="F17" s="63"/>
      <c r="G17" s="63"/>
      <c r="H17" s="63"/>
    </row>
    <row r="18" spans="6:8" ht="28.5" customHeight="1" x14ac:dyDescent="0.6">
      <c r="F18" s="63"/>
      <c r="G18" s="63"/>
      <c r="H18" s="63"/>
    </row>
  </sheetData>
  <mergeCells count="5">
    <mergeCell ref="F16:H18"/>
    <mergeCell ref="A7:I8"/>
    <mergeCell ref="A9:I11"/>
    <mergeCell ref="A12:I15"/>
    <mergeCell ref="D3:I3"/>
  </mergeCells>
  <pageMargins left="0.7" right="1.7" top="2" bottom="0.75" header="0.3" footer="0.3"/>
  <pageSetup scale="70" orientation="landscape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rightToLeft="1" view="pageBreakPreview" topLeftCell="A90" zoomScale="106" zoomScaleNormal="100" zoomScaleSheetLayoutView="106" workbookViewId="0">
      <selection activeCell="M78" sqref="M1:M1048576"/>
    </sheetView>
  </sheetViews>
  <sheetFormatPr defaultRowHeight="22.5" x14ac:dyDescent="0.6"/>
  <cols>
    <col min="1" max="1" width="35.5703125" style="8" customWidth="1"/>
    <col min="2" max="2" width="17.7109375" style="8" customWidth="1"/>
    <col min="3" max="3" width="16.42578125" style="8" customWidth="1"/>
    <col min="4" max="4" width="37.42578125" style="8" customWidth="1"/>
    <col min="5" max="5" width="16.42578125" style="8" customWidth="1"/>
    <col min="6" max="6" width="19.42578125" style="58" customWidth="1"/>
    <col min="7" max="7" width="20.85546875" style="8" customWidth="1"/>
    <col min="8" max="8" width="17.7109375" style="8" customWidth="1"/>
    <col min="9" max="9" width="16.42578125" style="8" customWidth="1"/>
    <col min="10" max="10" width="17.7109375" style="8" customWidth="1"/>
    <col min="11" max="11" width="19.42578125" style="58" customWidth="1"/>
    <col min="12" max="12" width="9.140625" style="61" hidden="1" customWidth="1"/>
    <col min="13" max="13" width="21" style="61" hidden="1" customWidth="1"/>
    <col min="14" max="16384" width="9.140625" style="1"/>
  </cols>
  <sheetData>
    <row r="1" spans="1:13" x14ac:dyDescent="0.6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3" x14ac:dyDescent="0.6">
      <c r="A2" s="63" t="s">
        <v>316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3" x14ac:dyDescent="0.6">
      <c r="A3" s="63" t="s">
        <v>317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5" spans="1:13" x14ac:dyDescent="0.6">
      <c r="A5" s="88" t="s">
        <v>339</v>
      </c>
      <c r="B5" s="88"/>
      <c r="C5" s="88"/>
      <c r="D5" s="88"/>
      <c r="E5" s="88"/>
      <c r="F5" s="88"/>
      <c r="G5" s="88"/>
      <c r="H5" s="88"/>
      <c r="I5" s="88"/>
      <c r="J5" s="88"/>
      <c r="K5" s="88"/>
    </row>
    <row r="7" spans="1:13" ht="19.5" customHeight="1" x14ac:dyDescent="0.6">
      <c r="A7" s="9"/>
      <c r="B7" s="87" t="s">
        <v>408</v>
      </c>
      <c r="C7" s="87"/>
      <c r="D7" s="87"/>
      <c r="E7" s="87"/>
      <c r="F7" s="87"/>
      <c r="G7" s="87" t="s">
        <v>319</v>
      </c>
      <c r="H7" s="87"/>
      <c r="I7" s="87"/>
      <c r="J7" s="87"/>
      <c r="K7" s="87"/>
    </row>
    <row r="8" spans="1:13" ht="19.5" customHeight="1" x14ac:dyDescent="0.6">
      <c r="A8" s="63" t="s">
        <v>340</v>
      </c>
      <c r="B8" s="85" t="s">
        <v>341</v>
      </c>
      <c r="C8" s="85" t="s">
        <v>321</v>
      </c>
      <c r="D8" s="85" t="s">
        <v>322</v>
      </c>
      <c r="E8" s="85" t="s">
        <v>178</v>
      </c>
      <c r="F8" s="85"/>
      <c r="G8" s="85" t="s">
        <v>341</v>
      </c>
      <c r="H8" s="85" t="s">
        <v>321</v>
      </c>
      <c r="I8" s="85" t="s">
        <v>322</v>
      </c>
      <c r="J8" s="85" t="s">
        <v>178</v>
      </c>
      <c r="K8" s="85"/>
    </row>
    <row r="9" spans="1:13" ht="18.75" customHeight="1" x14ac:dyDescent="0.6">
      <c r="A9" s="63"/>
      <c r="B9" s="86"/>
      <c r="C9" s="86"/>
      <c r="D9" s="86"/>
      <c r="E9" s="87"/>
      <c r="F9" s="87"/>
      <c r="G9" s="86"/>
      <c r="H9" s="86"/>
      <c r="I9" s="86"/>
      <c r="J9" s="87"/>
      <c r="K9" s="87"/>
    </row>
    <row r="10" spans="1:13" ht="28.5" customHeight="1" x14ac:dyDescent="0.6">
      <c r="A10" s="84"/>
      <c r="B10" s="13"/>
      <c r="C10" s="13"/>
      <c r="D10" s="13"/>
      <c r="E10" s="17" t="s">
        <v>12</v>
      </c>
      <c r="F10" s="57" t="s">
        <v>342</v>
      </c>
      <c r="G10" s="13"/>
      <c r="H10" s="13"/>
      <c r="I10" s="13"/>
      <c r="J10" s="17" t="s">
        <v>12</v>
      </c>
      <c r="K10" s="57" t="s">
        <v>342</v>
      </c>
      <c r="M10" s="61">
        <f>E100+'درآمد سرمایه گذاری در اوراق بها'!E29+'درآمد سپرده بانکی'!B87+'سایر درآمدها'!B9</f>
        <v>4283269650058</v>
      </c>
    </row>
    <row r="11" spans="1:13" ht="23.1" customHeight="1" x14ac:dyDescent="0.6">
      <c r="A11" s="6" t="s">
        <v>192</v>
      </c>
      <c r="B11" s="7">
        <v>0</v>
      </c>
      <c r="C11" s="7">
        <v>48732139719</v>
      </c>
      <c r="D11" s="7">
        <v>3840644296</v>
      </c>
      <c r="E11" s="7">
        <f>Table8[[#This Row],[3840644296.0000]]+Table8[[#This Row],[48732139719]]+Table8[[#This Row],[0]]</f>
        <v>52572784015</v>
      </c>
      <c r="F11" s="38">
        <f>(Table8[[#This Row],[52572784015.0000]]/Table8[[#This Row],[Column2]])*100</f>
        <v>1.2273984201365447</v>
      </c>
      <c r="G11" s="7">
        <v>0</v>
      </c>
      <c r="H11" s="7">
        <v>64041288036</v>
      </c>
      <c r="I11" s="7">
        <v>4437903043</v>
      </c>
      <c r="J11" s="7">
        <f>Table8[[#This Row],[4437903043.0000]]+Table8[[#This Row],[64041288036]]+Table8[[#This Row],[Column7]]</f>
        <v>68479191079</v>
      </c>
      <c r="K11" s="38">
        <f>(Table8[[#This Row],[68479191079.0000]]/Table8[[#This Row],[Column1]])*100</f>
        <v>0.50449219874194295</v>
      </c>
      <c r="L11" s="61">
        <v>13573885037225</v>
      </c>
      <c r="M11" s="61">
        <v>4283269650058</v>
      </c>
    </row>
    <row r="12" spans="1:13" ht="23.1" customHeight="1" x14ac:dyDescent="0.6">
      <c r="A12" s="6" t="s">
        <v>193</v>
      </c>
      <c r="B12" s="7">
        <v>0</v>
      </c>
      <c r="C12" s="7">
        <v>102053849547</v>
      </c>
      <c r="D12" s="7">
        <v>25629064921</v>
      </c>
      <c r="E12" s="7">
        <f>Table8[[#This Row],[3840644296.0000]]+Table8[[#This Row],[48732139719]]+Table8[[#This Row],[0]]</f>
        <v>127682914468</v>
      </c>
      <c r="F12" s="38">
        <f>(Table8[[#This Row],[52572784015.0000]]/Table8[[#This Row],[Column2]])*100</f>
        <v>2.9809683932990545</v>
      </c>
      <c r="G12" s="7">
        <v>0</v>
      </c>
      <c r="H12" s="7">
        <v>102053849547</v>
      </c>
      <c r="I12" s="7">
        <v>25629064921</v>
      </c>
      <c r="J12" s="7">
        <f>Table8[[#This Row],[4437903043.0000]]+Table8[[#This Row],[64041288036]]+Table8[[#This Row],[Column7]]</f>
        <v>127682914468</v>
      </c>
      <c r="K12" s="38">
        <f>(Table8[[#This Row],[68479191079.0000]]/Table8[[#This Row],[Column1]])*100</f>
        <v>0.94065121457742262</v>
      </c>
      <c r="L12" s="61">
        <v>13573885037225</v>
      </c>
      <c r="M12" s="61">
        <v>4283269650058</v>
      </c>
    </row>
    <row r="13" spans="1:13" ht="23.1" customHeight="1" x14ac:dyDescent="0.6">
      <c r="A13" s="6" t="s">
        <v>194</v>
      </c>
      <c r="B13" s="7">
        <v>0</v>
      </c>
      <c r="C13" s="7">
        <v>36485669182</v>
      </c>
      <c r="D13" s="7">
        <v>1876437408</v>
      </c>
      <c r="E13" s="7">
        <f>Table8[[#This Row],[3840644296.0000]]+Table8[[#This Row],[48732139719]]+Table8[[#This Row],[0]]</f>
        <v>38362106590</v>
      </c>
      <c r="F13" s="38">
        <f>(Table8[[#This Row],[52572784015.0000]]/Table8[[#This Row],[Column2]])*100</f>
        <v>0.8956266993249079</v>
      </c>
      <c r="G13" s="7">
        <v>0</v>
      </c>
      <c r="H13" s="7">
        <v>67536798849</v>
      </c>
      <c r="I13" s="7">
        <v>3246453483</v>
      </c>
      <c r="J13" s="7">
        <f>Table8[[#This Row],[4437903043.0000]]+Table8[[#This Row],[64041288036]]+Table8[[#This Row],[Column7]]</f>
        <v>70783252332</v>
      </c>
      <c r="K13" s="38">
        <f>(Table8[[#This Row],[68479191079.0000]]/Table8[[#This Row],[Column1]])*100</f>
        <v>0.52146641980453001</v>
      </c>
      <c r="L13" s="61">
        <v>13573885037225</v>
      </c>
      <c r="M13" s="61">
        <v>4283269650058</v>
      </c>
    </row>
    <row r="14" spans="1:13" ht="23.1" customHeight="1" x14ac:dyDescent="0.6">
      <c r="A14" s="6" t="s">
        <v>195</v>
      </c>
      <c r="B14" s="7">
        <v>0</v>
      </c>
      <c r="C14" s="7">
        <v>14491008876</v>
      </c>
      <c r="D14" s="7">
        <v>27738807169</v>
      </c>
      <c r="E14" s="7">
        <f>Table8[[#This Row],[3840644296.0000]]+Table8[[#This Row],[48732139719]]+Table8[[#This Row],[0]]</f>
        <v>42229816045</v>
      </c>
      <c r="F14" s="38">
        <f>(Table8[[#This Row],[52572784015.0000]]/Table8[[#This Row],[Column2]])*100</f>
        <v>0.98592476064233225</v>
      </c>
      <c r="G14" s="7">
        <v>0</v>
      </c>
      <c r="H14" s="7">
        <v>32405521047</v>
      </c>
      <c r="I14" s="7">
        <v>28314746158</v>
      </c>
      <c r="J14" s="7">
        <f>Table8[[#This Row],[4437903043.0000]]+Table8[[#This Row],[64041288036]]+Table8[[#This Row],[Column7]]</f>
        <v>60720267205</v>
      </c>
      <c r="K14" s="38">
        <f>(Table8[[#This Row],[68479191079.0000]]/Table8[[#This Row],[Column1]])*100</f>
        <v>0.44733152696137352</v>
      </c>
      <c r="L14" s="61">
        <v>13573885037225</v>
      </c>
      <c r="M14" s="61">
        <v>4283269650058</v>
      </c>
    </row>
    <row r="15" spans="1:13" ht="23.1" customHeight="1" x14ac:dyDescent="0.6">
      <c r="A15" s="6" t="s">
        <v>196</v>
      </c>
      <c r="B15" s="7">
        <v>0</v>
      </c>
      <c r="C15" s="7">
        <v>3964444578</v>
      </c>
      <c r="D15" s="7">
        <v>2405716450</v>
      </c>
      <c r="E15" s="7">
        <f>Table8[[#This Row],[3840644296.0000]]+Table8[[#This Row],[48732139719]]+Table8[[#This Row],[0]]</f>
        <v>6370161028</v>
      </c>
      <c r="F15" s="38">
        <f>(Table8[[#This Row],[52572784015.0000]]/Table8[[#This Row],[Column2]])*100</f>
        <v>0.14872192386752353</v>
      </c>
      <c r="G15" s="7">
        <v>0</v>
      </c>
      <c r="H15" s="7">
        <v>21464995157</v>
      </c>
      <c r="I15" s="7">
        <v>3458522578</v>
      </c>
      <c r="J15" s="7">
        <f>Table8[[#This Row],[4437903043.0000]]+Table8[[#This Row],[64041288036]]+Table8[[#This Row],[Column7]]</f>
        <v>24923517735</v>
      </c>
      <c r="K15" s="38">
        <f>(Table8[[#This Row],[68479191079.0000]]/Table8[[#This Row],[Column1]])*100</f>
        <v>0.18361373819396426</v>
      </c>
      <c r="L15" s="61">
        <v>13573885037225</v>
      </c>
      <c r="M15" s="61">
        <v>4283269650058</v>
      </c>
    </row>
    <row r="16" spans="1:13" ht="23.1" customHeight="1" x14ac:dyDescent="0.6">
      <c r="A16" s="6" t="s">
        <v>197</v>
      </c>
      <c r="B16" s="7">
        <v>0</v>
      </c>
      <c r="C16" s="7">
        <v>27393989092</v>
      </c>
      <c r="D16" s="7">
        <v>8586856799</v>
      </c>
      <c r="E16" s="7">
        <f>Table8[[#This Row],[3840644296.0000]]+Table8[[#This Row],[48732139719]]+Table8[[#This Row],[0]]</f>
        <v>35980845891</v>
      </c>
      <c r="F16" s="38">
        <f>(Table8[[#This Row],[52572784015.0000]]/Table8[[#This Row],[Column2]])*100</f>
        <v>0.84003223776753766</v>
      </c>
      <c r="G16" s="7">
        <v>0</v>
      </c>
      <c r="H16" s="7">
        <v>78482931214</v>
      </c>
      <c r="I16" s="7">
        <v>14582169442</v>
      </c>
      <c r="J16" s="7">
        <f>Table8[[#This Row],[4437903043.0000]]+Table8[[#This Row],[64041288036]]+Table8[[#This Row],[Column7]]</f>
        <v>93065100656</v>
      </c>
      <c r="K16" s="38">
        <f>(Table8[[#This Row],[68479191079.0000]]/Table8[[#This Row],[Column1]])*100</f>
        <v>0.68561874806496748</v>
      </c>
      <c r="L16" s="61">
        <v>13573885037225</v>
      </c>
      <c r="M16" s="61">
        <v>4283269650058</v>
      </c>
    </row>
    <row r="17" spans="1:13" ht="23.1" customHeight="1" x14ac:dyDescent="0.6">
      <c r="A17" s="6" t="s">
        <v>198</v>
      </c>
      <c r="B17" s="7">
        <v>4182210689</v>
      </c>
      <c r="C17" s="7">
        <v>1587900722</v>
      </c>
      <c r="D17" s="7">
        <v>1241462244</v>
      </c>
      <c r="E17" s="7">
        <f>Table8[[#This Row],[3840644296.0000]]+Table8[[#This Row],[48732139719]]+Table8[[#This Row],[0]]</f>
        <v>7011573655</v>
      </c>
      <c r="F17" s="38">
        <f>(Table8[[#This Row],[52572784015.0000]]/Table8[[#This Row],[Column2]])*100</f>
        <v>0.16369676036868366</v>
      </c>
      <c r="G17" s="7">
        <v>4182210689</v>
      </c>
      <c r="H17" s="7">
        <v>122161497</v>
      </c>
      <c r="I17" s="7">
        <v>3268739733</v>
      </c>
      <c r="J17" s="7">
        <f>Table8[[#This Row],[4437903043.0000]]+Table8[[#This Row],[64041288036]]+Table8[[#This Row],[Column7]]</f>
        <v>7573111919</v>
      </c>
      <c r="K17" s="38">
        <f>(Table8[[#This Row],[68479191079.0000]]/Table8[[#This Row],[Column1]])*100</f>
        <v>5.579177883289501E-2</v>
      </c>
      <c r="L17" s="61">
        <v>13573885037225</v>
      </c>
      <c r="M17" s="61">
        <v>4283269650058</v>
      </c>
    </row>
    <row r="18" spans="1:13" ht="23.1" customHeight="1" x14ac:dyDescent="0.6">
      <c r="A18" s="6" t="s">
        <v>199</v>
      </c>
      <c r="B18" s="7">
        <v>1033208118</v>
      </c>
      <c r="C18" s="7">
        <v>-6091318585</v>
      </c>
      <c r="D18" s="7">
        <v>5144193359</v>
      </c>
      <c r="E18" s="7">
        <f>Table8[[#This Row],[3840644296.0000]]+Table8[[#This Row],[48732139719]]+Table8[[#This Row],[0]]</f>
        <v>86082892</v>
      </c>
      <c r="F18" s="38">
        <f>(Table8[[#This Row],[52572784015.0000]]/Table8[[#This Row],[Column2]])*100</f>
        <v>2.0097472032570805E-3</v>
      </c>
      <c r="G18" s="7">
        <v>1033208118</v>
      </c>
      <c r="H18" s="7">
        <v>5185338267</v>
      </c>
      <c r="I18" s="7">
        <v>6498924227</v>
      </c>
      <c r="J18" s="7">
        <f>Table8[[#This Row],[4437903043.0000]]+Table8[[#This Row],[64041288036]]+Table8[[#This Row],[Column7]]</f>
        <v>12717470612</v>
      </c>
      <c r="K18" s="38">
        <f>(Table8[[#This Row],[68479191079.0000]]/Table8[[#This Row],[Column1]])*100</f>
        <v>9.3690719916395562E-2</v>
      </c>
      <c r="L18" s="61">
        <v>13573885037225</v>
      </c>
      <c r="M18" s="61">
        <v>4283269650058</v>
      </c>
    </row>
    <row r="19" spans="1:13" ht="23.1" customHeight="1" x14ac:dyDescent="0.6">
      <c r="A19" s="6" t="s">
        <v>200</v>
      </c>
      <c r="B19" s="7">
        <v>548526264</v>
      </c>
      <c r="C19" s="7">
        <v>5678582531</v>
      </c>
      <c r="D19" s="7">
        <v>12370822832</v>
      </c>
      <c r="E19" s="7">
        <f>Table8[[#This Row],[3840644296.0000]]+Table8[[#This Row],[48732139719]]+Table8[[#This Row],[0]]</f>
        <v>18597931627</v>
      </c>
      <c r="F19" s="38">
        <f>(Table8[[#This Row],[52572784015.0000]]/Table8[[#This Row],[Column2]])*100</f>
        <v>0.43419941181494753</v>
      </c>
      <c r="G19" s="7">
        <v>548526264</v>
      </c>
      <c r="H19" s="7">
        <v>29524789314</v>
      </c>
      <c r="I19" s="7">
        <v>27697424156</v>
      </c>
      <c r="J19" s="7">
        <f>Table8[[#This Row],[4437903043.0000]]+Table8[[#This Row],[64041288036]]+Table8[[#This Row],[Column7]]</f>
        <v>57770739734</v>
      </c>
      <c r="K19" s="38">
        <f>(Table8[[#This Row],[68479191079.0000]]/Table8[[#This Row],[Column1]])*100</f>
        <v>0.4256020997346715</v>
      </c>
      <c r="L19" s="61">
        <v>13573885037225</v>
      </c>
      <c r="M19" s="61">
        <v>4283269650058</v>
      </c>
    </row>
    <row r="20" spans="1:13" ht="23.1" customHeight="1" x14ac:dyDescent="0.6">
      <c r="A20" s="6" t="s">
        <v>201</v>
      </c>
      <c r="B20" s="7">
        <v>0</v>
      </c>
      <c r="C20" s="7">
        <v>21944136212</v>
      </c>
      <c r="D20" s="7">
        <v>0</v>
      </c>
      <c r="E20" s="7">
        <f>Table8[[#This Row],[3840644296.0000]]+Table8[[#This Row],[48732139719]]+Table8[[#This Row],[0]]</f>
        <v>21944136212</v>
      </c>
      <c r="F20" s="38">
        <f>(Table8[[#This Row],[52572784015.0000]]/Table8[[#This Row],[Column2]])*100</f>
        <v>0.5123220811396465</v>
      </c>
      <c r="G20" s="7">
        <v>0</v>
      </c>
      <c r="H20" s="7">
        <v>77634297020</v>
      </c>
      <c r="I20" s="7">
        <v>0</v>
      </c>
      <c r="J20" s="7">
        <f>Table8[[#This Row],[4437903043.0000]]+Table8[[#This Row],[64041288036]]+Table8[[#This Row],[Column7]]</f>
        <v>77634297020</v>
      </c>
      <c r="K20" s="38">
        <f>(Table8[[#This Row],[68479191079.0000]]/Table8[[#This Row],[Column1]])*100</f>
        <v>0.57193866610108923</v>
      </c>
      <c r="L20" s="61">
        <v>13573885037225</v>
      </c>
      <c r="M20" s="61">
        <v>4283269650058</v>
      </c>
    </row>
    <row r="21" spans="1:13" ht="23.1" customHeight="1" x14ac:dyDescent="0.6">
      <c r="A21" s="6" t="s">
        <v>202</v>
      </c>
      <c r="B21" s="7">
        <v>30619700610</v>
      </c>
      <c r="C21" s="7">
        <v>9219744916</v>
      </c>
      <c r="D21" s="7">
        <v>12175720791</v>
      </c>
      <c r="E21" s="7">
        <f>Table8[[#This Row],[3840644296.0000]]+Table8[[#This Row],[48732139719]]+Table8[[#This Row],[0]]</f>
        <v>52015166317</v>
      </c>
      <c r="F21" s="38">
        <f>(Table8[[#This Row],[52572784015.0000]]/Table8[[#This Row],[Column2]])*100</f>
        <v>1.2143799145658658</v>
      </c>
      <c r="G21" s="7">
        <v>30619700610</v>
      </c>
      <c r="H21" s="7">
        <v>60213420209</v>
      </c>
      <c r="I21" s="7">
        <v>14546219558</v>
      </c>
      <c r="J21" s="7">
        <f>Table8[[#This Row],[4437903043.0000]]+Table8[[#This Row],[64041288036]]+Table8[[#This Row],[Column7]]</f>
        <v>105379340377</v>
      </c>
      <c r="K21" s="38">
        <f>(Table8[[#This Row],[68479191079.0000]]/Table8[[#This Row],[Column1]])*100</f>
        <v>0.77633883068854548</v>
      </c>
      <c r="L21" s="61">
        <v>13573885037225</v>
      </c>
      <c r="M21" s="61">
        <v>4283269650058</v>
      </c>
    </row>
    <row r="22" spans="1:13" ht="23.1" customHeight="1" x14ac:dyDescent="0.6">
      <c r="A22" s="6" t="s">
        <v>203</v>
      </c>
      <c r="B22" s="7">
        <v>0</v>
      </c>
      <c r="C22" s="7">
        <v>-2162722230</v>
      </c>
      <c r="D22" s="7">
        <v>4494640332</v>
      </c>
      <c r="E22" s="7">
        <f>Table8[[#This Row],[3840644296.0000]]+Table8[[#This Row],[48732139719]]+Table8[[#This Row],[0]]</f>
        <v>2331918102</v>
      </c>
      <c r="F22" s="38">
        <f>(Table8[[#This Row],[52572784015.0000]]/Table8[[#This Row],[Column2]])*100</f>
        <v>5.4442477184886623E-2</v>
      </c>
      <c r="G22" s="7">
        <v>0</v>
      </c>
      <c r="H22" s="7">
        <v>-225690449</v>
      </c>
      <c r="I22" s="7">
        <v>6469377723</v>
      </c>
      <c r="J22" s="7">
        <f>Table8[[#This Row],[4437903043.0000]]+Table8[[#This Row],[64041288036]]+Table8[[#This Row],[Column7]]</f>
        <v>6243687274</v>
      </c>
      <c r="K22" s="38">
        <f>(Table8[[#This Row],[68479191079.0000]]/Table8[[#This Row],[Column1]])*100</f>
        <v>4.5997791029446046E-2</v>
      </c>
      <c r="L22" s="61">
        <v>13573885037225</v>
      </c>
      <c r="M22" s="61">
        <v>4283269650058</v>
      </c>
    </row>
    <row r="23" spans="1:13" ht="23.1" customHeight="1" x14ac:dyDescent="0.6">
      <c r="A23" s="6" t="s">
        <v>204</v>
      </c>
      <c r="B23" s="7">
        <v>0</v>
      </c>
      <c r="C23" s="7">
        <v>16841756113</v>
      </c>
      <c r="D23" s="7">
        <v>4044028984</v>
      </c>
      <c r="E23" s="7">
        <f>Table8[[#This Row],[3840644296.0000]]+Table8[[#This Row],[48732139719]]+Table8[[#This Row],[0]]</f>
        <v>20885785097</v>
      </c>
      <c r="F23" s="38">
        <f>(Table8[[#This Row],[52572784015.0000]]/Table8[[#This Row],[Column2]])*100</f>
        <v>0.48761312743215185</v>
      </c>
      <c r="G23" s="7">
        <v>0</v>
      </c>
      <c r="H23" s="7">
        <v>43374904542</v>
      </c>
      <c r="I23" s="7">
        <v>5816120960</v>
      </c>
      <c r="J23" s="7">
        <f>Table8[[#This Row],[4437903043.0000]]+Table8[[#This Row],[64041288036]]+Table8[[#This Row],[Column7]]</f>
        <v>49191025502</v>
      </c>
      <c r="K23" s="38">
        <f>(Table8[[#This Row],[68479191079.0000]]/Table8[[#This Row],[Column1]])*100</f>
        <v>0.36239459349404102</v>
      </c>
      <c r="L23" s="61">
        <v>13573885037225</v>
      </c>
      <c r="M23" s="61">
        <v>4283269650058</v>
      </c>
    </row>
    <row r="24" spans="1:13" ht="23.1" customHeight="1" x14ac:dyDescent="0.6">
      <c r="A24" s="6" t="s">
        <v>205</v>
      </c>
      <c r="B24" s="7">
        <v>0</v>
      </c>
      <c r="C24" s="7">
        <v>3006806013</v>
      </c>
      <c r="D24" s="7">
        <v>7086202723</v>
      </c>
      <c r="E24" s="7">
        <f>Table8[[#This Row],[3840644296.0000]]+Table8[[#This Row],[48732139719]]+Table8[[#This Row],[0]]</f>
        <v>10093008736</v>
      </c>
      <c r="F24" s="38">
        <f>(Table8[[#This Row],[52572784015.0000]]/Table8[[#This Row],[Column2]])*100</f>
        <v>0.23563794859058967</v>
      </c>
      <c r="G24" s="7">
        <v>0</v>
      </c>
      <c r="H24" s="7">
        <v>23240316700</v>
      </c>
      <c r="I24" s="7">
        <v>11521555088</v>
      </c>
      <c r="J24" s="7">
        <f>Table8[[#This Row],[4437903043.0000]]+Table8[[#This Row],[64041288036]]+Table8[[#This Row],[Column7]]</f>
        <v>34761871788</v>
      </c>
      <c r="K24" s="38">
        <f>(Table8[[#This Row],[68479191079.0000]]/Table8[[#This Row],[Column1]])*100</f>
        <v>0.25609375423962333</v>
      </c>
      <c r="L24" s="61">
        <v>13573885037225</v>
      </c>
      <c r="M24" s="61">
        <v>4283269650058</v>
      </c>
    </row>
    <row r="25" spans="1:13" ht="23.1" customHeight="1" x14ac:dyDescent="0.6">
      <c r="A25" s="6" t="s">
        <v>206</v>
      </c>
      <c r="B25" s="7">
        <v>0</v>
      </c>
      <c r="C25" s="7">
        <v>14636186066</v>
      </c>
      <c r="D25" s="7">
        <v>9064184368</v>
      </c>
      <c r="E25" s="7">
        <f>Table8[[#This Row],[3840644296.0000]]+Table8[[#This Row],[48732139719]]+Table8[[#This Row],[0]]</f>
        <v>23700370434</v>
      </c>
      <c r="F25" s="38">
        <f>(Table8[[#This Row],[52572784015.0000]]/Table8[[#This Row],[Column2]])*100</f>
        <v>0.55332426791479428</v>
      </c>
      <c r="G25" s="7">
        <v>0</v>
      </c>
      <c r="H25" s="7">
        <v>42523618656</v>
      </c>
      <c r="I25" s="7">
        <v>14844456317</v>
      </c>
      <c r="J25" s="7">
        <f>Table8[[#This Row],[4437903043.0000]]+Table8[[#This Row],[64041288036]]+Table8[[#This Row],[Column7]]</f>
        <v>57368074973</v>
      </c>
      <c r="K25" s="38">
        <f>(Table8[[#This Row],[68479191079.0000]]/Table8[[#This Row],[Column1]])*100</f>
        <v>0.42263563317115094</v>
      </c>
      <c r="L25" s="61">
        <v>13573885037225</v>
      </c>
      <c r="M25" s="61">
        <v>4283269650058</v>
      </c>
    </row>
    <row r="26" spans="1:13" ht="23.1" customHeight="1" x14ac:dyDescent="0.6">
      <c r="A26" s="6" t="s">
        <v>207</v>
      </c>
      <c r="B26" s="7">
        <v>8184666835</v>
      </c>
      <c r="C26" s="7">
        <v>-6154004165</v>
      </c>
      <c r="D26" s="7">
        <v>1711793946</v>
      </c>
      <c r="E26" s="7">
        <f>Table8[[#This Row],[3840644296.0000]]+Table8[[#This Row],[48732139719]]+Table8[[#This Row],[0]]</f>
        <v>3742456616</v>
      </c>
      <c r="F26" s="38">
        <f>(Table8[[#This Row],[52572784015.0000]]/Table8[[#This Row],[Column2]])*100</f>
        <v>8.7373827047039249E-2</v>
      </c>
      <c r="G26" s="7">
        <v>8184666835</v>
      </c>
      <c r="H26" s="7">
        <v>4220248887</v>
      </c>
      <c r="I26" s="7">
        <v>7111908990</v>
      </c>
      <c r="J26" s="7">
        <f>Table8[[#This Row],[4437903043.0000]]+Table8[[#This Row],[64041288036]]+Table8[[#This Row],[Column7]]</f>
        <v>19516824712</v>
      </c>
      <c r="K26" s="38">
        <f>(Table8[[#This Row],[68479191079.0000]]/Table8[[#This Row],[Column1]])*100</f>
        <v>0.14378215712360234</v>
      </c>
      <c r="L26" s="61">
        <v>13573885037225</v>
      </c>
      <c r="M26" s="61">
        <v>4283269650058</v>
      </c>
    </row>
    <row r="27" spans="1:13" ht="23.1" customHeight="1" x14ac:dyDescent="0.6">
      <c r="A27" s="6" t="s">
        <v>208</v>
      </c>
      <c r="B27" s="7">
        <v>3357937928</v>
      </c>
      <c r="C27" s="7">
        <v>-3209998459</v>
      </c>
      <c r="D27" s="7">
        <v>1981048693</v>
      </c>
      <c r="E27" s="7">
        <f>Table8[[#This Row],[3840644296.0000]]+Table8[[#This Row],[48732139719]]+Table8[[#This Row],[0]]</f>
        <v>2128988162</v>
      </c>
      <c r="F27" s="38">
        <f>(Table8[[#This Row],[52572784015.0000]]/Table8[[#This Row],[Column2]])*100</f>
        <v>4.9704742776845043E-2</v>
      </c>
      <c r="G27" s="7">
        <v>3357937928</v>
      </c>
      <c r="H27" s="7">
        <v>-50960883</v>
      </c>
      <c r="I27" s="7">
        <v>10766312439</v>
      </c>
      <c r="J27" s="7">
        <f>Table8[[#This Row],[4437903043.0000]]+Table8[[#This Row],[64041288036]]+Table8[[#This Row],[Column7]]</f>
        <v>14073289484</v>
      </c>
      <c r="K27" s="38">
        <f>(Table8[[#This Row],[68479191079.0000]]/Table8[[#This Row],[Column1]])*100</f>
        <v>0.10367915630201253</v>
      </c>
      <c r="L27" s="61">
        <v>13573885037225</v>
      </c>
      <c r="M27" s="61">
        <v>4283269650058</v>
      </c>
    </row>
    <row r="28" spans="1:13" ht="23.1" customHeight="1" x14ac:dyDescent="0.6">
      <c r="A28" s="6" t="s">
        <v>209</v>
      </c>
      <c r="B28" s="7">
        <v>10007053541</v>
      </c>
      <c r="C28" s="7">
        <v>870507178</v>
      </c>
      <c r="D28" s="7">
        <v>2974944390</v>
      </c>
      <c r="E28" s="7">
        <f>Table8[[#This Row],[3840644296.0000]]+Table8[[#This Row],[48732139719]]+Table8[[#This Row],[0]]</f>
        <v>13852505109</v>
      </c>
      <c r="F28" s="38">
        <f>(Table8[[#This Row],[52572784015.0000]]/Table8[[#This Row],[Column2]])*100</f>
        <v>0.32340959689083365</v>
      </c>
      <c r="G28" s="7">
        <v>10007053541</v>
      </c>
      <c r="H28" s="7">
        <v>-6343942648</v>
      </c>
      <c r="I28" s="7">
        <v>2854069066</v>
      </c>
      <c r="J28" s="7">
        <f>Table8[[#This Row],[4437903043.0000]]+Table8[[#This Row],[64041288036]]+Table8[[#This Row],[Column7]]</f>
        <v>6517179959</v>
      </c>
      <c r="K28" s="38">
        <f>(Table8[[#This Row],[68479191079.0000]]/Table8[[#This Row],[Column1]])*100</f>
        <v>4.8012635594947922E-2</v>
      </c>
      <c r="L28" s="61">
        <v>13573885037225</v>
      </c>
      <c r="M28" s="61">
        <v>4283269650058</v>
      </c>
    </row>
    <row r="29" spans="1:13" ht="23.1" customHeight="1" x14ac:dyDescent="0.6">
      <c r="A29" s="6" t="s">
        <v>210</v>
      </c>
      <c r="B29" s="7">
        <v>11107523314</v>
      </c>
      <c r="C29" s="7">
        <v>-7098138889</v>
      </c>
      <c r="D29" s="7">
        <v>4977995517</v>
      </c>
      <c r="E29" s="7">
        <f>Table8[[#This Row],[3840644296.0000]]+Table8[[#This Row],[48732139719]]+Table8[[#This Row],[0]]</f>
        <v>8987379942</v>
      </c>
      <c r="F29" s="38">
        <f>(Table8[[#This Row],[52572784015.0000]]/Table8[[#This Row],[Column2]])*100</f>
        <v>0.20982521942970134</v>
      </c>
      <c r="G29" s="7">
        <v>11107523314</v>
      </c>
      <c r="H29" s="7">
        <v>4126415654</v>
      </c>
      <c r="I29" s="7">
        <v>7102422184</v>
      </c>
      <c r="J29" s="7">
        <f>Table8[[#This Row],[4437903043.0000]]+Table8[[#This Row],[64041288036]]+Table8[[#This Row],[Column7]]</f>
        <v>22336361152</v>
      </c>
      <c r="K29" s="38">
        <f>(Table8[[#This Row],[68479191079.0000]]/Table8[[#This Row],[Column1]])*100</f>
        <v>0.16455392903906876</v>
      </c>
      <c r="L29" s="61">
        <v>13573885037225</v>
      </c>
      <c r="M29" s="61">
        <v>4283269650058</v>
      </c>
    </row>
    <row r="30" spans="1:13" ht="23.1" customHeight="1" x14ac:dyDescent="0.6">
      <c r="A30" s="6" t="s">
        <v>211</v>
      </c>
      <c r="B30" s="7">
        <v>0</v>
      </c>
      <c r="C30" s="7">
        <v>-9829169789</v>
      </c>
      <c r="D30" s="7">
        <v>2355025936</v>
      </c>
      <c r="E30" s="7">
        <f>Table8[[#This Row],[3840644296.0000]]+Table8[[#This Row],[48732139719]]+Table8[[#This Row],[0]]</f>
        <v>-7474143853</v>
      </c>
      <c r="F30" s="38">
        <f>(Table8[[#This Row],[52572784015.0000]]/Table8[[#This Row],[Column2]])*100</f>
        <v>-0.17449622516524946</v>
      </c>
      <c r="G30" s="7">
        <v>0</v>
      </c>
      <c r="H30" s="7">
        <v>39909578364</v>
      </c>
      <c r="I30" s="7">
        <v>21176151888</v>
      </c>
      <c r="J30" s="7">
        <f>Table8[[#This Row],[4437903043.0000]]+Table8[[#This Row],[64041288036]]+Table8[[#This Row],[Column7]]</f>
        <v>61085730252</v>
      </c>
      <c r="K30" s="38">
        <f>(Table8[[#This Row],[68479191079.0000]]/Table8[[#This Row],[Column1]])*100</f>
        <v>0.4500239252393739</v>
      </c>
      <c r="L30" s="61">
        <v>13573885037225</v>
      </c>
      <c r="M30" s="61">
        <v>4283269650058</v>
      </c>
    </row>
    <row r="31" spans="1:13" ht="23.1" customHeight="1" x14ac:dyDescent="0.6">
      <c r="A31" s="6" t="s">
        <v>212</v>
      </c>
      <c r="B31" s="7">
        <v>0</v>
      </c>
      <c r="C31" s="7">
        <v>7433979543</v>
      </c>
      <c r="D31" s="7">
        <v>6354271370</v>
      </c>
      <c r="E31" s="7">
        <f>Table8[[#This Row],[3840644296.0000]]+Table8[[#This Row],[48732139719]]+Table8[[#This Row],[0]]</f>
        <v>13788250913</v>
      </c>
      <c r="F31" s="38">
        <f>(Table8[[#This Row],[52572784015.0000]]/Table8[[#This Row],[Column2]])*100</f>
        <v>0.32190947662642</v>
      </c>
      <c r="G31" s="7">
        <v>0</v>
      </c>
      <c r="H31" s="7">
        <v>10095760313</v>
      </c>
      <c r="I31" s="7">
        <v>6670945982</v>
      </c>
      <c r="J31" s="7">
        <f>Table8[[#This Row],[4437903043.0000]]+Table8[[#This Row],[64041288036]]+Table8[[#This Row],[Column7]]</f>
        <v>16766706295</v>
      </c>
      <c r="K31" s="38">
        <f>(Table8[[#This Row],[68479191079.0000]]/Table8[[#This Row],[Column1]])*100</f>
        <v>0.12352179386387178</v>
      </c>
      <c r="L31" s="61">
        <v>13573885037225</v>
      </c>
      <c r="M31" s="61">
        <v>4283269650058</v>
      </c>
    </row>
    <row r="32" spans="1:13" ht="23.1" customHeight="1" x14ac:dyDescent="0.6">
      <c r="A32" s="6" t="s">
        <v>213</v>
      </c>
      <c r="B32" s="7">
        <v>0</v>
      </c>
      <c r="C32" s="7">
        <v>926872962587</v>
      </c>
      <c r="D32" s="7">
        <v>122555341158</v>
      </c>
      <c r="E32" s="7">
        <f>Table8[[#This Row],[3840644296.0000]]+Table8[[#This Row],[48732139719]]+Table8[[#This Row],[0]]</f>
        <v>1049428303745</v>
      </c>
      <c r="F32" s="38">
        <f>(Table8[[#This Row],[52572784015.0000]]/Table8[[#This Row],[Column2]])*100</f>
        <v>24.500635950640877</v>
      </c>
      <c r="G32" s="7">
        <v>0</v>
      </c>
      <c r="H32" s="7">
        <v>2840047897503</v>
      </c>
      <c r="I32" s="7">
        <v>132487925197</v>
      </c>
      <c r="J32" s="7">
        <f>Table8[[#This Row],[4437903043.0000]]+Table8[[#This Row],[64041288036]]+Table8[[#This Row],[Column7]]</f>
        <v>2972535822700</v>
      </c>
      <c r="K32" s="38">
        <f>(Table8[[#This Row],[68479191079.0000]]/Table8[[#This Row],[Column1]])*100</f>
        <v>21.898931768967564</v>
      </c>
      <c r="L32" s="61">
        <v>13573885037225</v>
      </c>
      <c r="M32" s="61">
        <v>4283269650058</v>
      </c>
    </row>
    <row r="33" spans="1:13" ht="23.1" customHeight="1" x14ac:dyDescent="0.6">
      <c r="A33" s="6" t="s">
        <v>214</v>
      </c>
      <c r="B33" s="7">
        <v>0</v>
      </c>
      <c r="C33" s="7">
        <v>6611356111</v>
      </c>
      <c r="D33" s="7">
        <v>8195903491</v>
      </c>
      <c r="E33" s="7">
        <f>Table8[[#This Row],[3840644296.0000]]+Table8[[#This Row],[48732139719]]+Table8[[#This Row],[0]]</f>
        <v>14807259602</v>
      </c>
      <c r="F33" s="38">
        <f>(Table8[[#This Row],[52572784015.0000]]/Table8[[#This Row],[Column2]])*100</f>
        <v>0.34569991645983561</v>
      </c>
      <c r="G33" s="7">
        <v>0</v>
      </c>
      <c r="H33" s="7">
        <v>61876331952</v>
      </c>
      <c r="I33" s="7">
        <v>12558354235</v>
      </c>
      <c r="J33" s="7">
        <f>Table8[[#This Row],[4437903043.0000]]+Table8[[#This Row],[64041288036]]+Table8[[#This Row],[Column7]]</f>
        <v>74434686187</v>
      </c>
      <c r="K33" s="38">
        <f>(Table8[[#This Row],[68479191079.0000]]/Table8[[#This Row],[Column1]])*100</f>
        <v>0.54836685284183884</v>
      </c>
      <c r="L33" s="61">
        <v>13573885037225</v>
      </c>
      <c r="M33" s="61">
        <v>4283269650058</v>
      </c>
    </row>
    <row r="34" spans="1:13" ht="23.1" customHeight="1" x14ac:dyDescent="0.6">
      <c r="A34" s="6" t="s">
        <v>215</v>
      </c>
      <c r="B34" s="7">
        <v>0</v>
      </c>
      <c r="C34" s="7">
        <v>929965558731</v>
      </c>
      <c r="D34" s="7">
        <v>10994252723</v>
      </c>
      <c r="E34" s="7">
        <f>Table8[[#This Row],[3840644296.0000]]+Table8[[#This Row],[48732139719]]+Table8[[#This Row],[0]]</f>
        <v>940959811454</v>
      </c>
      <c r="F34" s="38">
        <f>(Table8[[#This Row],[52572784015.0000]]/Table8[[#This Row],[Column2]])*100</f>
        <v>21.968259958633666</v>
      </c>
      <c r="G34" s="7">
        <v>0</v>
      </c>
      <c r="H34" s="7">
        <v>1430726687901</v>
      </c>
      <c r="I34" s="7">
        <v>14953349636</v>
      </c>
      <c r="J34" s="7">
        <f>Table8[[#This Row],[4437903043.0000]]+Table8[[#This Row],[64041288036]]+Table8[[#This Row],[Column7]]</f>
        <v>1445680037537</v>
      </c>
      <c r="K34" s="38">
        <f>(Table8[[#This Row],[68479191079.0000]]/Table8[[#This Row],[Column1]])*100</f>
        <v>10.650451463028967</v>
      </c>
      <c r="L34" s="61">
        <v>13573885037225</v>
      </c>
      <c r="M34" s="61">
        <v>4283269650058</v>
      </c>
    </row>
    <row r="35" spans="1:13" ht="23.1" customHeight="1" x14ac:dyDescent="0.6">
      <c r="A35" s="6" t="s">
        <v>216</v>
      </c>
      <c r="B35" s="7">
        <v>0</v>
      </c>
      <c r="C35" s="7">
        <v>735924880352</v>
      </c>
      <c r="D35" s="7">
        <v>45796976316</v>
      </c>
      <c r="E35" s="7">
        <f>Table8[[#This Row],[3840644296.0000]]+Table8[[#This Row],[48732139719]]+Table8[[#This Row],[0]]</f>
        <v>781721856668</v>
      </c>
      <c r="F35" s="38">
        <f>(Table8[[#This Row],[52572784015.0000]]/Table8[[#This Row],[Column2]])*100</f>
        <v>18.250587063959763</v>
      </c>
      <c r="G35" s="7">
        <v>0</v>
      </c>
      <c r="H35" s="7">
        <v>2550407979347</v>
      </c>
      <c r="I35" s="7">
        <v>71140981388</v>
      </c>
      <c r="J35" s="7">
        <f>Table8[[#This Row],[4437903043.0000]]+Table8[[#This Row],[64041288036]]+Table8[[#This Row],[Column7]]</f>
        <v>2621548960735</v>
      </c>
      <c r="K35" s="38">
        <f>(Table8[[#This Row],[68479191079.0000]]/Table8[[#This Row],[Column1]])*100</f>
        <v>19.313180814082838</v>
      </c>
      <c r="L35" s="61">
        <v>13573885037225</v>
      </c>
      <c r="M35" s="61">
        <v>4283269650058</v>
      </c>
    </row>
    <row r="36" spans="1:13" ht="23.1" customHeight="1" x14ac:dyDescent="0.6">
      <c r="A36" s="6" t="s">
        <v>217</v>
      </c>
      <c r="B36" s="7">
        <v>0</v>
      </c>
      <c r="C36" s="7">
        <v>42896612507</v>
      </c>
      <c r="D36" s="7">
        <v>5049719210</v>
      </c>
      <c r="E36" s="7">
        <f>Table8[[#This Row],[3840644296.0000]]+Table8[[#This Row],[48732139719]]+Table8[[#This Row],[0]]</f>
        <v>47946331717</v>
      </c>
      <c r="F36" s="38">
        <f>(Table8[[#This Row],[52572784015.0000]]/Table8[[#This Row],[Column2]])*100</f>
        <v>1.1193862547586924</v>
      </c>
      <c r="G36" s="7">
        <v>0</v>
      </c>
      <c r="H36" s="7">
        <v>135276153212</v>
      </c>
      <c r="I36" s="7">
        <v>7869324410</v>
      </c>
      <c r="J36" s="7">
        <f>Table8[[#This Row],[4437903043.0000]]+Table8[[#This Row],[64041288036]]+Table8[[#This Row],[Column7]]</f>
        <v>143145477622</v>
      </c>
      <c r="K36" s="38">
        <f>(Table8[[#This Row],[68479191079.0000]]/Table8[[#This Row],[Column1]])*100</f>
        <v>1.0545652716922096</v>
      </c>
      <c r="L36" s="61">
        <v>13573885037225</v>
      </c>
      <c r="M36" s="61">
        <v>4283269650058</v>
      </c>
    </row>
    <row r="37" spans="1:13" ht="23.1" customHeight="1" x14ac:dyDescent="0.6">
      <c r="A37" s="6" t="s">
        <v>218</v>
      </c>
      <c r="B37" s="7">
        <v>0</v>
      </c>
      <c r="C37" s="7">
        <v>13401324635</v>
      </c>
      <c r="D37" s="7">
        <v>6236182081</v>
      </c>
      <c r="E37" s="7">
        <f>Table8[[#This Row],[3840644296.0000]]+Table8[[#This Row],[48732139719]]+Table8[[#This Row],[0]]</f>
        <v>19637506716</v>
      </c>
      <c r="F37" s="38">
        <f>(Table8[[#This Row],[52572784015.0000]]/Table8[[#This Row],[Column2]])*100</f>
        <v>0.45847000820352479</v>
      </c>
      <c r="G37" s="7">
        <v>0</v>
      </c>
      <c r="H37" s="7">
        <v>57254532494</v>
      </c>
      <c r="I37" s="7">
        <v>7536192181</v>
      </c>
      <c r="J37" s="7">
        <f>Table8[[#This Row],[4437903043.0000]]+Table8[[#This Row],[64041288036]]+Table8[[#This Row],[Column7]]</f>
        <v>64790724675</v>
      </c>
      <c r="K37" s="38">
        <f>(Table8[[#This Row],[68479191079.0000]]/Table8[[#This Row],[Column1]])*100</f>
        <v>0.47731894367248601</v>
      </c>
      <c r="L37" s="61">
        <v>13573885037225</v>
      </c>
      <c r="M37" s="61">
        <v>4283269650058</v>
      </c>
    </row>
    <row r="38" spans="1:13" ht="23.1" customHeight="1" x14ac:dyDescent="0.6">
      <c r="A38" s="6" t="s">
        <v>219</v>
      </c>
      <c r="B38" s="7">
        <v>0</v>
      </c>
      <c r="C38" s="7">
        <v>14706307797</v>
      </c>
      <c r="D38" s="7">
        <v>12977178767</v>
      </c>
      <c r="E38" s="7">
        <f>Table8[[#This Row],[3840644296.0000]]+Table8[[#This Row],[48732139719]]+Table8[[#This Row],[0]]</f>
        <v>27683486564</v>
      </c>
      <c r="F38" s="38">
        <f>(Table8[[#This Row],[52572784015.0000]]/Table8[[#This Row],[Column2]])*100</f>
        <v>0.64631668855182012</v>
      </c>
      <c r="G38" s="7">
        <v>0</v>
      </c>
      <c r="H38" s="7">
        <v>35149164135</v>
      </c>
      <c r="I38" s="7">
        <v>16481770456</v>
      </c>
      <c r="J38" s="7">
        <f>Table8[[#This Row],[4437903043.0000]]+Table8[[#This Row],[64041288036]]+Table8[[#This Row],[Column7]]</f>
        <v>51630934591</v>
      </c>
      <c r="K38" s="38">
        <f>(Table8[[#This Row],[68479191079.0000]]/Table8[[#This Row],[Column1]])*100</f>
        <v>0.38036961746329373</v>
      </c>
      <c r="L38" s="61">
        <v>13573885037225</v>
      </c>
      <c r="M38" s="61">
        <v>4283269650058</v>
      </c>
    </row>
    <row r="39" spans="1:13" ht="23.1" customHeight="1" x14ac:dyDescent="0.6">
      <c r="A39" s="6" t="s">
        <v>220</v>
      </c>
      <c r="B39" s="7">
        <v>0</v>
      </c>
      <c r="C39" s="7">
        <v>32792821834</v>
      </c>
      <c r="D39" s="7">
        <v>4287353065</v>
      </c>
      <c r="E39" s="7">
        <f>Table8[[#This Row],[3840644296.0000]]+Table8[[#This Row],[48732139719]]+Table8[[#This Row],[0]]</f>
        <v>37080174899</v>
      </c>
      <c r="F39" s="38">
        <f>(Table8[[#This Row],[52572784015.0000]]/Table8[[#This Row],[Column2]])*100</f>
        <v>0.8656978880257491</v>
      </c>
      <c r="G39" s="7">
        <v>0</v>
      </c>
      <c r="H39" s="7">
        <v>50846156782</v>
      </c>
      <c r="I39" s="7">
        <v>4806937840</v>
      </c>
      <c r="J39" s="7">
        <f>Table8[[#This Row],[4437903043.0000]]+Table8[[#This Row],[64041288036]]+Table8[[#This Row],[Column7]]</f>
        <v>55653094622</v>
      </c>
      <c r="K39" s="38">
        <f>(Table8[[#This Row],[68479191079.0000]]/Table8[[#This Row],[Column1]])*100</f>
        <v>0.41000122271094119</v>
      </c>
      <c r="L39" s="61">
        <v>13573885037225</v>
      </c>
      <c r="M39" s="61">
        <v>4283269650058</v>
      </c>
    </row>
    <row r="40" spans="1:13" ht="23.1" customHeight="1" x14ac:dyDescent="0.6">
      <c r="A40" s="6" t="s">
        <v>221</v>
      </c>
      <c r="B40" s="7">
        <v>0</v>
      </c>
      <c r="C40" s="7">
        <v>8004703116</v>
      </c>
      <c r="D40" s="7">
        <v>6576149456</v>
      </c>
      <c r="E40" s="7">
        <f>Table8[[#This Row],[3840644296.0000]]+Table8[[#This Row],[48732139719]]+Table8[[#This Row],[0]]</f>
        <v>14580852572</v>
      </c>
      <c r="F40" s="38">
        <f>(Table8[[#This Row],[52572784015.0000]]/Table8[[#This Row],[Column2]])*100</f>
        <v>0.34041407063416051</v>
      </c>
      <c r="G40" s="7">
        <v>0</v>
      </c>
      <c r="H40" s="7">
        <v>38084560738</v>
      </c>
      <c r="I40" s="7">
        <v>10920765569</v>
      </c>
      <c r="J40" s="7">
        <f>Table8[[#This Row],[4437903043.0000]]+Table8[[#This Row],[64041288036]]+Table8[[#This Row],[Column7]]</f>
        <v>49005326307</v>
      </c>
      <c r="K40" s="38">
        <f>(Table8[[#This Row],[68479191079.0000]]/Table8[[#This Row],[Column1]])*100</f>
        <v>0.36102653125916329</v>
      </c>
      <c r="L40" s="61">
        <v>13573885037225</v>
      </c>
      <c r="M40" s="61">
        <v>4283269650058</v>
      </c>
    </row>
    <row r="41" spans="1:13" ht="23.1" customHeight="1" x14ac:dyDescent="0.6">
      <c r="A41" s="6" t="s">
        <v>222</v>
      </c>
      <c r="B41" s="7">
        <v>0</v>
      </c>
      <c r="C41" s="7">
        <v>14687266295</v>
      </c>
      <c r="D41" s="7">
        <v>4523809860</v>
      </c>
      <c r="E41" s="7">
        <f>Table8[[#This Row],[3840644296.0000]]+Table8[[#This Row],[48732139719]]+Table8[[#This Row],[0]]</f>
        <v>19211076155</v>
      </c>
      <c r="F41" s="38">
        <f>(Table8[[#This Row],[52572784015.0000]]/Table8[[#This Row],[Column2]])*100</f>
        <v>0.44851428288526879</v>
      </c>
      <c r="G41" s="7">
        <v>0</v>
      </c>
      <c r="H41" s="7">
        <v>33923572750</v>
      </c>
      <c r="I41" s="7">
        <v>10246592369</v>
      </c>
      <c r="J41" s="7">
        <f>Table8[[#This Row],[4437903043.0000]]+Table8[[#This Row],[64041288036]]+Table8[[#This Row],[Column7]]</f>
        <v>44170165119</v>
      </c>
      <c r="K41" s="38">
        <f>(Table8[[#This Row],[68479191079.0000]]/Table8[[#This Row],[Column1]])*100</f>
        <v>0.32540547527747443</v>
      </c>
      <c r="L41" s="61">
        <v>13573885037225</v>
      </c>
      <c r="M41" s="61">
        <v>4283269650058</v>
      </c>
    </row>
    <row r="42" spans="1:13" ht="23.1" customHeight="1" x14ac:dyDescent="0.6">
      <c r="A42" s="6" t="s">
        <v>223</v>
      </c>
      <c r="B42" s="7">
        <v>0</v>
      </c>
      <c r="C42" s="7">
        <v>101435847754</v>
      </c>
      <c r="D42" s="7">
        <v>6826044184</v>
      </c>
      <c r="E42" s="7">
        <f>Table8[[#This Row],[3840644296.0000]]+Table8[[#This Row],[48732139719]]+Table8[[#This Row],[0]]</f>
        <v>108261891938</v>
      </c>
      <c r="F42" s="38">
        <f>(Table8[[#This Row],[52572784015.0000]]/Table8[[#This Row],[Column2]])*100</f>
        <v>2.5275525657492524</v>
      </c>
      <c r="G42" s="7">
        <v>0</v>
      </c>
      <c r="H42" s="7">
        <v>651913663384</v>
      </c>
      <c r="I42" s="7">
        <v>29042623889</v>
      </c>
      <c r="J42" s="7">
        <f>Table8[[#This Row],[4437903043.0000]]+Table8[[#This Row],[64041288036]]+Table8[[#This Row],[Column7]]</f>
        <v>680956287273</v>
      </c>
      <c r="K42" s="38">
        <f>(Table8[[#This Row],[68479191079.0000]]/Table8[[#This Row],[Column1]])*100</f>
        <v>5.0166646130090733</v>
      </c>
      <c r="L42" s="61">
        <v>13573885037225</v>
      </c>
      <c r="M42" s="61">
        <v>4283269650058</v>
      </c>
    </row>
    <row r="43" spans="1:13" ht="23.1" customHeight="1" x14ac:dyDescent="0.6">
      <c r="A43" s="6" t="s">
        <v>224</v>
      </c>
      <c r="B43" s="7">
        <v>0</v>
      </c>
      <c r="C43" s="7">
        <v>66954158333</v>
      </c>
      <c r="D43" s="7">
        <v>15152731296</v>
      </c>
      <c r="E43" s="7">
        <f>Table8[[#This Row],[3840644296.0000]]+Table8[[#This Row],[48732139719]]+Table8[[#This Row],[0]]</f>
        <v>82106889629</v>
      </c>
      <c r="F43" s="38">
        <f>(Table8[[#This Row],[52572784015.0000]]/Table8[[#This Row],[Column2]])*100</f>
        <v>1.916920865065971</v>
      </c>
      <c r="G43" s="7">
        <v>0</v>
      </c>
      <c r="H43" s="7">
        <v>198634759727</v>
      </c>
      <c r="I43" s="7">
        <v>24040319020</v>
      </c>
      <c r="J43" s="7">
        <f>Table8[[#This Row],[4437903043.0000]]+Table8[[#This Row],[64041288036]]+Table8[[#This Row],[Column7]]</f>
        <v>222675078747</v>
      </c>
      <c r="K43" s="38">
        <f>(Table8[[#This Row],[68479191079.0000]]/Table8[[#This Row],[Column1]])*100</f>
        <v>1.6404668091437067</v>
      </c>
      <c r="L43" s="61">
        <v>13573885037225</v>
      </c>
      <c r="M43" s="61">
        <v>4283269650058</v>
      </c>
    </row>
    <row r="44" spans="1:13" ht="23.1" customHeight="1" x14ac:dyDescent="0.6">
      <c r="A44" s="6" t="s">
        <v>225</v>
      </c>
      <c r="B44" s="7">
        <v>0</v>
      </c>
      <c r="C44" s="7">
        <v>23591745976</v>
      </c>
      <c r="D44" s="7">
        <v>27426469445</v>
      </c>
      <c r="E44" s="7">
        <f>Table8[[#This Row],[3840644296.0000]]+Table8[[#This Row],[48732139719]]+Table8[[#This Row],[0]]</f>
        <v>51018215421</v>
      </c>
      <c r="F44" s="38">
        <f>(Table8[[#This Row],[52572784015.0000]]/Table8[[#This Row],[Column2]])*100</f>
        <v>1.191104450318909</v>
      </c>
      <c r="G44" s="7">
        <v>0</v>
      </c>
      <c r="H44" s="7">
        <v>108745152070</v>
      </c>
      <c r="I44" s="7">
        <v>31637980292</v>
      </c>
      <c r="J44" s="7">
        <f>Table8[[#This Row],[4437903043.0000]]+Table8[[#This Row],[64041288036]]+Table8[[#This Row],[Column7]]</f>
        <v>140383132362</v>
      </c>
      <c r="K44" s="38">
        <f>(Table8[[#This Row],[68479191079.0000]]/Table8[[#This Row],[Column1]])*100</f>
        <v>1.034214832209154</v>
      </c>
      <c r="L44" s="61">
        <v>13573885037225</v>
      </c>
      <c r="M44" s="61">
        <v>4283269650058</v>
      </c>
    </row>
    <row r="45" spans="1:13" ht="23.1" customHeight="1" x14ac:dyDescent="0.6">
      <c r="A45" s="6" t="s">
        <v>226</v>
      </c>
      <c r="B45" s="7">
        <v>0</v>
      </c>
      <c r="C45" s="7">
        <v>6356455610</v>
      </c>
      <c r="D45" s="7">
        <v>3121974126</v>
      </c>
      <c r="E45" s="7">
        <f>Table8[[#This Row],[3840644296.0000]]+Table8[[#This Row],[48732139719]]+Table8[[#This Row],[0]]</f>
        <v>9478429736</v>
      </c>
      <c r="F45" s="38">
        <f>(Table8[[#This Row],[52572784015.0000]]/Table8[[#This Row],[Column2]])*100</f>
        <v>0.22128958740367075</v>
      </c>
      <c r="G45" s="7">
        <v>0</v>
      </c>
      <c r="H45" s="7">
        <v>36837720359</v>
      </c>
      <c r="I45" s="7">
        <v>4429827060</v>
      </c>
      <c r="J45" s="7">
        <f>Table8[[#This Row],[4437903043.0000]]+Table8[[#This Row],[64041288036]]+Table8[[#This Row],[Column7]]</f>
        <v>41267547419</v>
      </c>
      <c r="K45" s="38">
        <f>(Table8[[#This Row],[68479191079.0000]]/Table8[[#This Row],[Column1]])*100</f>
        <v>0.30402163644253616</v>
      </c>
      <c r="L45" s="61">
        <v>13573885037225</v>
      </c>
      <c r="M45" s="61">
        <v>4283269650058</v>
      </c>
    </row>
    <row r="46" spans="1:13" ht="23.1" customHeight="1" x14ac:dyDescent="0.6">
      <c r="A46" s="6" t="s">
        <v>227</v>
      </c>
      <c r="B46" s="7">
        <v>0</v>
      </c>
      <c r="C46" s="7">
        <v>103852497434</v>
      </c>
      <c r="D46" s="7">
        <v>13086750102</v>
      </c>
      <c r="E46" s="7">
        <f>Table8[[#This Row],[3840644296.0000]]+Table8[[#This Row],[48732139719]]+Table8[[#This Row],[0]]</f>
        <v>116939247536</v>
      </c>
      <c r="F46" s="38">
        <f>(Table8[[#This Row],[52572784015.0000]]/Table8[[#This Row],[Column2]])*100</f>
        <v>2.7301397551381461</v>
      </c>
      <c r="G46" s="7">
        <v>0</v>
      </c>
      <c r="H46" s="7">
        <v>127370800339</v>
      </c>
      <c r="I46" s="7">
        <v>8522450691</v>
      </c>
      <c r="J46" s="7">
        <f>Table8[[#This Row],[4437903043.0000]]+Table8[[#This Row],[64041288036]]+Table8[[#This Row],[Column7]]</f>
        <v>135893251030</v>
      </c>
      <c r="K46" s="38">
        <f>(Table8[[#This Row],[68479191079.0000]]/Table8[[#This Row],[Column1]])*100</f>
        <v>1.0011374831695314</v>
      </c>
      <c r="L46" s="61">
        <v>13573885037225</v>
      </c>
      <c r="M46" s="61">
        <v>4283269650058</v>
      </c>
    </row>
    <row r="47" spans="1:13" ht="23.1" customHeight="1" x14ac:dyDescent="0.6">
      <c r="A47" s="6" t="s">
        <v>228</v>
      </c>
      <c r="B47" s="7">
        <v>0</v>
      </c>
      <c r="C47" s="7">
        <v>1904819178</v>
      </c>
      <c r="D47" s="7">
        <v>2672436593</v>
      </c>
      <c r="E47" s="7">
        <f>Table8[[#This Row],[3840644296.0000]]+Table8[[#This Row],[48732139719]]+Table8[[#This Row],[0]]</f>
        <v>4577255771</v>
      </c>
      <c r="F47" s="38">
        <f>(Table8[[#This Row],[52572784015.0000]]/Table8[[#This Row],[Column2]])*100</f>
        <v>0.10686359125062367</v>
      </c>
      <c r="G47" s="7">
        <v>0</v>
      </c>
      <c r="H47" s="7">
        <v>32913157404</v>
      </c>
      <c r="I47" s="7">
        <v>4127167781</v>
      </c>
      <c r="J47" s="7">
        <f>Table8[[#This Row],[4437903043.0000]]+Table8[[#This Row],[64041288036]]+Table8[[#This Row],[Column7]]</f>
        <v>37040325185</v>
      </c>
      <c r="K47" s="38">
        <f>(Table8[[#This Row],[68479191079.0000]]/Table8[[#This Row],[Column1]])*100</f>
        <v>0.27287931998407733</v>
      </c>
      <c r="L47" s="61">
        <v>13573885037225</v>
      </c>
      <c r="M47" s="61">
        <v>4283269650058</v>
      </c>
    </row>
    <row r="48" spans="1:13" ht="23.1" customHeight="1" x14ac:dyDescent="0.6">
      <c r="A48" s="6" t="s">
        <v>229</v>
      </c>
      <c r="B48" s="7">
        <v>9773087864</v>
      </c>
      <c r="C48" s="7">
        <v>-7731553157</v>
      </c>
      <c r="D48" s="7">
        <v>3384415412</v>
      </c>
      <c r="E48" s="7">
        <f>Table8[[#This Row],[3840644296.0000]]+Table8[[#This Row],[48732139719]]+Table8[[#This Row],[0]]</f>
        <v>5425950119</v>
      </c>
      <c r="F48" s="38">
        <f>(Table8[[#This Row],[52572784015.0000]]/Table8[[#This Row],[Column2]])*100</f>
        <v>0.1266777616703755</v>
      </c>
      <c r="G48" s="7">
        <v>9773087864</v>
      </c>
      <c r="H48" s="7">
        <v>8587623924</v>
      </c>
      <c r="I48" s="7">
        <v>7012335910</v>
      </c>
      <c r="J48" s="7">
        <f>Table8[[#This Row],[4437903043.0000]]+Table8[[#This Row],[64041288036]]+Table8[[#This Row],[Column7]]</f>
        <v>25373047698</v>
      </c>
      <c r="K48" s="38">
        <f>(Table8[[#This Row],[68479191079.0000]]/Table8[[#This Row],[Column1]])*100</f>
        <v>0.18692546480552175</v>
      </c>
      <c r="L48" s="61">
        <v>13573885037225</v>
      </c>
      <c r="M48" s="61">
        <v>4283269650058</v>
      </c>
    </row>
    <row r="49" spans="1:13" ht="23.1" customHeight="1" x14ac:dyDescent="0.6">
      <c r="A49" s="6" t="s">
        <v>230</v>
      </c>
      <c r="B49" s="7">
        <v>0</v>
      </c>
      <c r="C49" s="7">
        <v>3272784361</v>
      </c>
      <c r="D49" s="7">
        <v>42024505870</v>
      </c>
      <c r="E49" s="7">
        <f>Table8[[#This Row],[3840644296.0000]]+Table8[[#This Row],[48732139719]]+Table8[[#This Row],[0]]</f>
        <v>45297290231</v>
      </c>
      <c r="F49" s="38">
        <f>(Table8[[#This Row],[52572784015.0000]]/Table8[[#This Row],[Column2]])*100</f>
        <v>1.0575400087264324</v>
      </c>
      <c r="G49" s="7">
        <v>0</v>
      </c>
      <c r="H49" s="7">
        <v>31498688860</v>
      </c>
      <c r="I49" s="7">
        <v>47651736689</v>
      </c>
      <c r="J49" s="7">
        <f>Table8[[#This Row],[4437903043.0000]]+Table8[[#This Row],[64041288036]]+Table8[[#This Row],[Column7]]</f>
        <v>79150425549</v>
      </c>
      <c r="K49" s="38">
        <f>(Table8[[#This Row],[68479191079.0000]]/Table8[[#This Row],[Column1]])*100</f>
        <v>0.58310811777127924</v>
      </c>
      <c r="L49" s="61">
        <v>13573885037225</v>
      </c>
      <c r="M49" s="61">
        <v>4283269650058</v>
      </c>
    </row>
    <row r="50" spans="1:13" ht="23.1" customHeight="1" x14ac:dyDescent="0.6">
      <c r="A50" s="6" t="s">
        <v>231</v>
      </c>
      <c r="B50" s="7">
        <v>0</v>
      </c>
      <c r="C50" s="7">
        <v>13499564963</v>
      </c>
      <c r="D50" s="7">
        <v>7444176321</v>
      </c>
      <c r="E50" s="7">
        <f>Table8[[#This Row],[3840644296.0000]]+Table8[[#This Row],[48732139719]]+Table8[[#This Row],[0]]</f>
        <v>20943741284</v>
      </c>
      <c r="F50" s="38">
        <f>(Table8[[#This Row],[52572784015.0000]]/Table8[[#This Row],[Column2]])*100</f>
        <v>0.48896621028088666</v>
      </c>
      <c r="G50" s="7">
        <v>0</v>
      </c>
      <c r="H50" s="7">
        <v>36974081496</v>
      </c>
      <c r="I50" s="7">
        <v>10146421172</v>
      </c>
      <c r="J50" s="7">
        <f>Table8[[#This Row],[4437903043.0000]]+Table8[[#This Row],[64041288036]]+Table8[[#This Row],[Column7]]</f>
        <v>47120502668</v>
      </c>
      <c r="K50" s="38">
        <f>(Table8[[#This Row],[68479191079.0000]]/Table8[[#This Row],[Column1]])*100</f>
        <v>0.34714087041975683</v>
      </c>
      <c r="L50" s="61">
        <v>13573885037225</v>
      </c>
      <c r="M50" s="61">
        <v>4283269650058</v>
      </c>
    </row>
    <row r="51" spans="1:13" ht="23.1" customHeight="1" x14ac:dyDescent="0.6">
      <c r="A51" s="6" t="s">
        <v>232</v>
      </c>
      <c r="B51" s="7">
        <v>7747270402</v>
      </c>
      <c r="C51" s="7">
        <v>-6654478500</v>
      </c>
      <c r="D51" s="7">
        <v>807638514</v>
      </c>
      <c r="E51" s="7">
        <f>Table8[[#This Row],[3840644296.0000]]+Table8[[#This Row],[48732139719]]+Table8[[#This Row],[0]]</f>
        <v>1900430416</v>
      </c>
      <c r="F51" s="38">
        <f>(Table8[[#This Row],[52572784015.0000]]/Table8[[#This Row],[Column2]])*100</f>
        <v>4.4368684936150732E-2</v>
      </c>
      <c r="G51" s="7">
        <v>7747270402</v>
      </c>
      <c r="H51" s="7">
        <v>3866266484</v>
      </c>
      <c r="I51" s="7">
        <v>2930944555</v>
      </c>
      <c r="J51" s="7">
        <f>Table8[[#This Row],[4437903043.0000]]+Table8[[#This Row],[64041288036]]+Table8[[#This Row],[Column7]]</f>
        <v>14544481441</v>
      </c>
      <c r="K51" s="38">
        <f>(Table8[[#This Row],[68479191079.0000]]/Table8[[#This Row],[Column1]])*100</f>
        <v>0.10715046872073278</v>
      </c>
      <c r="L51" s="61">
        <v>13573885037225</v>
      </c>
      <c r="M51" s="61">
        <v>4283269650058</v>
      </c>
    </row>
    <row r="52" spans="1:13" ht="23.1" customHeight="1" x14ac:dyDescent="0.6">
      <c r="A52" s="6" t="s">
        <v>233</v>
      </c>
      <c r="B52" s="7">
        <v>16311954568</v>
      </c>
      <c r="C52" s="7">
        <v>227382710</v>
      </c>
      <c r="D52" s="7">
        <v>4914330320</v>
      </c>
      <c r="E52" s="7">
        <f>Table8[[#This Row],[3840644296.0000]]+Table8[[#This Row],[48732139719]]+Table8[[#This Row],[0]]</f>
        <v>21453667598</v>
      </c>
      <c r="F52" s="38">
        <f>(Table8[[#This Row],[52572784015.0000]]/Table8[[#This Row],[Column2]])*100</f>
        <v>0.50087128177208018</v>
      </c>
      <c r="G52" s="7">
        <v>16311954568</v>
      </c>
      <c r="H52" s="7">
        <v>25828847931</v>
      </c>
      <c r="I52" s="7">
        <v>6369406231</v>
      </c>
      <c r="J52" s="7">
        <f>Table8[[#This Row],[4437903043.0000]]+Table8[[#This Row],[64041288036]]+Table8[[#This Row],[Column7]]</f>
        <v>48510208730</v>
      </c>
      <c r="K52" s="38">
        <f>(Table8[[#This Row],[68479191079.0000]]/Table8[[#This Row],[Column1]])*100</f>
        <v>0.35737895670226821</v>
      </c>
      <c r="L52" s="61">
        <v>13573885037225</v>
      </c>
      <c r="M52" s="61">
        <v>4283269650058</v>
      </c>
    </row>
    <row r="53" spans="1:13" ht="23.1" customHeight="1" x14ac:dyDescent="0.6">
      <c r="A53" s="6" t="s">
        <v>234</v>
      </c>
      <c r="B53" s="7">
        <v>0</v>
      </c>
      <c r="C53" s="7">
        <v>-8823016318</v>
      </c>
      <c r="D53" s="7">
        <v>16449616560</v>
      </c>
      <c r="E53" s="7">
        <f>Table8[[#This Row],[3840644296.0000]]+Table8[[#This Row],[48732139719]]+Table8[[#This Row],[0]]</f>
        <v>7626600242</v>
      </c>
      <c r="F53" s="38">
        <f>(Table8[[#This Row],[52572784015.0000]]/Table8[[#This Row],[Column2]])*100</f>
        <v>0.17805557121291041</v>
      </c>
      <c r="G53" s="7">
        <v>0</v>
      </c>
      <c r="H53" s="7">
        <v>-31326819</v>
      </c>
      <c r="I53" s="7">
        <v>22926312678</v>
      </c>
      <c r="J53" s="7">
        <f>Table8[[#This Row],[4437903043.0000]]+Table8[[#This Row],[64041288036]]+Table8[[#This Row],[Column7]]</f>
        <v>22894985859</v>
      </c>
      <c r="K53" s="38">
        <f>(Table8[[#This Row],[68479191079.0000]]/Table8[[#This Row],[Column1]])*100</f>
        <v>0.16866936618523604</v>
      </c>
      <c r="L53" s="61">
        <v>13573885037225</v>
      </c>
      <c r="M53" s="61">
        <v>4283269650058</v>
      </c>
    </row>
    <row r="54" spans="1:13" ht="23.1" customHeight="1" x14ac:dyDescent="0.6">
      <c r="A54" s="6" t="s">
        <v>235</v>
      </c>
      <c r="B54" s="7">
        <v>0</v>
      </c>
      <c r="C54" s="7">
        <v>299754280545</v>
      </c>
      <c r="D54" s="7">
        <v>5373401862</v>
      </c>
      <c r="E54" s="7">
        <f>Table8[[#This Row],[3840644296.0000]]+Table8[[#This Row],[48732139719]]+Table8[[#This Row],[0]]</f>
        <v>305127682407</v>
      </c>
      <c r="F54" s="38">
        <f>(Table8[[#This Row],[52572784015.0000]]/Table8[[#This Row],[Column2]])*100</f>
        <v>7.1237093934272435</v>
      </c>
      <c r="G54" s="7">
        <v>0</v>
      </c>
      <c r="H54" s="7">
        <v>458679602473</v>
      </c>
      <c r="I54" s="7">
        <v>6345789910</v>
      </c>
      <c r="J54" s="7">
        <f>Table8[[#This Row],[4437903043.0000]]+Table8[[#This Row],[64041288036]]+Table8[[#This Row],[Column7]]</f>
        <v>465025392383</v>
      </c>
      <c r="K54" s="38">
        <f>(Table8[[#This Row],[68479191079.0000]]/Table8[[#This Row],[Column1]])*100</f>
        <v>3.4258827970600545</v>
      </c>
      <c r="L54" s="61">
        <v>13573885037225</v>
      </c>
      <c r="M54" s="61">
        <v>4283269650058</v>
      </c>
    </row>
    <row r="55" spans="1:13" ht="23.1" customHeight="1" x14ac:dyDescent="0.6">
      <c r="A55" s="6" t="s">
        <v>236</v>
      </c>
      <c r="B55" s="7">
        <v>0</v>
      </c>
      <c r="C55" s="7">
        <v>-1785865511</v>
      </c>
      <c r="D55" s="7">
        <v>4027283221</v>
      </c>
      <c r="E55" s="7">
        <f>Table8[[#This Row],[3840644296.0000]]+Table8[[#This Row],[48732139719]]+Table8[[#This Row],[0]]</f>
        <v>2241417710</v>
      </c>
      <c r="F55" s="38">
        <f>(Table8[[#This Row],[52572784015.0000]]/Table8[[#This Row],[Column2]])*100</f>
        <v>5.2329596152547828E-2</v>
      </c>
      <c r="G55" s="7">
        <v>0</v>
      </c>
      <c r="H55" s="7">
        <v>3715897577</v>
      </c>
      <c r="I55" s="7">
        <v>10392093105</v>
      </c>
      <c r="J55" s="7">
        <f>Table8[[#This Row],[4437903043.0000]]+Table8[[#This Row],[64041288036]]+Table8[[#This Row],[Column7]]</f>
        <v>14107990682</v>
      </c>
      <c r="K55" s="38">
        <f>(Table8[[#This Row],[68479191079.0000]]/Table8[[#This Row],[Column1]])*100</f>
        <v>0.10393480306714158</v>
      </c>
      <c r="L55" s="61">
        <v>13573885037225</v>
      </c>
      <c r="M55" s="61">
        <v>4283269650058</v>
      </c>
    </row>
    <row r="56" spans="1:13" ht="23.1" customHeight="1" x14ac:dyDescent="0.6">
      <c r="A56" s="6" t="s">
        <v>237</v>
      </c>
      <c r="B56" s="7">
        <v>0</v>
      </c>
      <c r="C56" s="7">
        <v>21040787063</v>
      </c>
      <c r="D56" s="7">
        <v>6004170555</v>
      </c>
      <c r="E56" s="7">
        <f>Table8[[#This Row],[3840644296.0000]]+Table8[[#This Row],[48732139719]]+Table8[[#This Row],[0]]</f>
        <v>27044957618</v>
      </c>
      <c r="F56" s="38">
        <f>(Table8[[#This Row],[52572784015.0000]]/Table8[[#This Row],[Column2]])*100</f>
        <v>0.63140917634344551</v>
      </c>
      <c r="G56" s="7">
        <v>0</v>
      </c>
      <c r="H56" s="7">
        <v>53557636823</v>
      </c>
      <c r="I56" s="7">
        <v>7290531789</v>
      </c>
      <c r="J56" s="7">
        <f>Table8[[#This Row],[4437903043.0000]]+Table8[[#This Row],[64041288036]]+Table8[[#This Row],[Column7]]</f>
        <v>60848168612</v>
      </c>
      <c r="K56" s="38">
        <f>(Table8[[#This Row],[68479191079.0000]]/Table8[[#This Row],[Column1]])*100</f>
        <v>0.44827378782957189</v>
      </c>
      <c r="L56" s="61">
        <v>13573885037225</v>
      </c>
      <c r="M56" s="61">
        <v>4283269650058</v>
      </c>
    </row>
    <row r="57" spans="1:13" ht="23.1" customHeight="1" x14ac:dyDescent="0.6">
      <c r="A57" s="6" t="s">
        <v>238</v>
      </c>
      <c r="B57" s="7">
        <v>0</v>
      </c>
      <c r="C57" s="7">
        <v>74509141061</v>
      </c>
      <c r="D57" s="7">
        <v>2587994704</v>
      </c>
      <c r="E57" s="7">
        <f>Table8[[#This Row],[3840644296.0000]]+Table8[[#This Row],[48732139719]]+Table8[[#This Row],[0]]</f>
        <v>77097135765</v>
      </c>
      <c r="F57" s="38">
        <f>(Table8[[#This Row],[52572784015.0000]]/Table8[[#This Row],[Column2]])*100</f>
        <v>1.7999598919474058</v>
      </c>
      <c r="G57" s="7">
        <v>0</v>
      </c>
      <c r="H57" s="7">
        <v>116154479031</v>
      </c>
      <c r="I57" s="7">
        <v>3351702921</v>
      </c>
      <c r="J57" s="7">
        <f>Table8[[#This Row],[4437903043.0000]]+Table8[[#This Row],[64041288036]]+Table8[[#This Row],[Column7]]</f>
        <v>119506181952</v>
      </c>
      <c r="K57" s="38">
        <f>(Table8[[#This Row],[68479191079.0000]]/Table8[[#This Row],[Column1]])*100</f>
        <v>0.88041250993555964</v>
      </c>
      <c r="L57" s="61">
        <v>13573885037225</v>
      </c>
      <c r="M57" s="61">
        <v>4283269650058</v>
      </c>
    </row>
    <row r="58" spans="1:13" ht="23.1" customHeight="1" x14ac:dyDescent="0.6">
      <c r="A58" s="6" t="s">
        <v>239</v>
      </c>
      <c r="B58" s="7">
        <v>0</v>
      </c>
      <c r="C58" s="7">
        <v>1860688332</v>
      </c>
      <c r="D58" s="7">
        <v>3406107490</v>
      </c>
      <c r="E58" s="7">
        <f>Table8[[#This Row],[3840644296.0000]]+Table8[[#This Row],[48732139719]]+Table8[[#This Row],[0]]</f>
        <v>5266795822</v>
      </c>
      <c r="F58" s="38">
        <f>(Table8[[#This Row],[52572784015.0000]]/Table8[[#This Row],[Column2]])*100</f>
        <v>0.12296204190480238</v>
      </c>
      <c r="G58" s="7">
        <v>0</v>
      </c>
      <c r="H58" s="7">
        <v>3430489383</v>
      </c>
      <c r="I58" s="7">
        <v>4063396578</v>
      </c>
      <c r="J58" s="7">
        <f>Table8[[#This Row],[4437903043.0000]]+Table8[[#This Row],[64041288036]]+Table8[[#This Row],[Column7]]</f>
        <v>7493885961</v>
      </c>
      <c r="K58" s="38">
        <f>(Table8[[#This Row],[68479191079.0000]]/Table8[[#This Row],[Column1]])*100</f>
        <v>5.5208114260941361E-2</v>
      </c>
      <c r="L58" s="61">
        <v>13573885037225</v>
      </c>
      <c r="M58" s="61">
        <v>4283269650058</v>
      </c>
    </row>
    <row r="59" spans="1:13" ht="23.1" customHeight="1" x14ac:dyDescent="0.6">
      <c r="A59" s="6" t="s">
        <v>240</v>
      </c>
      <c r="B59" s="7">
        <v>14575142323</v>
      </c>
      <c r="C59" s="7">
        <v>-7097942662</v>
      </c>
      <c r="D59" s="7">
        <v>8314951456</v>
      </c>
      <c r="E59" s="7">
        <f>Table8[[#This Row],[3840644296.0000]]+Table8[[#This Row],[48732139719]]+Table8[[#This Row],[0]]</f>
        <v>15792151117</v>
      </c>
      <c r="F59" s="38">
        <f>(Table8[[#This Row],[52572784015.0000]]/Table8[[#This Row],[Column2]])*100</f>
        <v>0.36869383455197968</v>
      </c>
      <c r="G59" s="7">
        <v>14575142323</v>
      </c>
      <c r="H59" s="7">
        <v>12136093947</v>
      </c>
      <c r="I59" s="7">
        <v>11113984129</v>
      </c>
      <c r="J59" s="7">
        <f>Table8[[#This Row],[4437903043.0000]]+Table8[[#This Row],[64041288036]]+Table8[[#This Row],[Column7]]</f>
        <v>37825220399</v>
      </c>
      <c r="K59" s="38">
        <f>(Table8[[#This Row],[68479191079.0000]]/Table8[[#This Row],[Column1]])*100</f>
        <v>0.2786617117742502</v>
      </c>
      <c r="L59" s="61">
        <v>13573885037225</v>
      </c>
      <c r="M59" s="61">
        <v>4283269650058</v>
      </c>
    </row>
    <row r="60" spans="1:13" ht="23.1" customHeight="1" x14ac:dyDescent="0.6">
      <c r="A60" s="6" t="s">
        <v>241</v>
      </c>
      <c r="B60" s="7">
        <v>0</v>
      </c>
      <c r="C60" s="7">
        <v>-1138771951</v>
      </c>
      <c r="D60" s="7">
        <v>4515427635</v>
      </c>
      <c r="E60" s="7">
        <f>Table8[[#This Row],[3840644296.0000]]+Table8[[#This Row],[48732139719]]+Table8[[#This Row],[0]]</f>
        <v>3376655684</v>
      </c>
      <c r="F60" s="38">
        <f>(Table8[[#This Row],[52572784015.0000]]/Table8[[#This Row],[Column2]])*100</f>
        <v>7.883360049382547E-2</v>
      </c>
      <c r="G60" s="7">
        <v>0</v>
      </c>
      <c r="H60" s="7">
        <v>1337779499</v>
      </c>
      <c r="I60" s="7">
        <v>7845357284</v>
      </c>
      <c r="J60" s="7">
        <f>Table8[[#This Row],[4437903043.0000]]+Table8[[#This Row],[64041288036]]+Table8[[#This Row],[Column7]]</f>
        <v>9183136783</v>
      </c>
      <c r="K60" s="38">
        <f>(Table8[[#This Row],[68479191079.0000]]/Table8[[#This Row],[Column1]])*100</f>
        <v>6.7652973027369695E-2</v>
      </c>
      <c r="L60" s="61">
        <v>13573885037225</v>
      </c>
      <c r="M60" s="61">
        <v>4283269650058</v>
      </c>
    </row>
    <row r="61" spans="1:13" ht="23.1" customHeight="1" x14ac:dyDescent="0.6">
      <c r="A61" s="6" t="s">
        <v>242</v>
      </c>
      <c r="B61" s="7">
        <v>5134808447</v>
      </c>
      <c r="C61" s="7">
        <v>-327587349</v>
      </c>
      <c r="D61" s="7">
        <v>1596435698</v>
      </c>
      <c r="E61" s="7">
        <f>Table8[[#This Row],[3840644296.0000]]+Table8[[#This Row],[48732139719]]+Table8[[#This Row],[0]]</f>
        <v>6403656796</v>
      </c>
      <c r="F61" s="38">
        <f>(Table8[[#This Row],[52572784015.0000]]/Table8[[#This Row],[Column2]])*100</f>
        <v>0.14950393786002447</v>
      </c>
      <c r="G61" s="7">
        <v>5134808447</v>
      </c>
      <c r="H61" s="7">
        <v>6140435762</v>
      </c>
      <c r="I61" s="7">
        <v>4691878847</v>
      </c>
      <c r="J61" s="7">
        <f>Table8[[#This Row],[4437903043.0000]]+Table8[[#This Row],[64041288036]]+Table8[[#This Row],[Column7]]</f>
        <v>15967123056</v>
      </c>
      <c r="K61" s="38">
        <f>(Table8[[#This Row],[68479191079.0000]]/Table8[[#This Row],[Column1]])*100</f>
        <v>0.11763119410700612</v>
      </c>
      <c r="L61" s="61">
        <v>13573885037225</v>
      </c>
      <c r="M61" s="61">
        <v>4283269650058</v>
      </c>
    </row>
    <row r="62" spans="1:13" ht="23.1" customHeight="1" x14ac:dyDescent="0.6">
      <c r="A62" s="6" t="s">
        <v>243</v>
      </c>
      <c r="B62" s="7">
        <v>20144014346</v>
      </c>
      <c r="C62" s="7">
        <v>-6708972258</v>
      </c>
      <c r="D62" s="7">
        <v>6950018546</v>
      </c>
      <c r="E62" s="7">
        <f>Table8[[#This Row],[3840644296.0000]]+Table8[[#This Row],[48732139719]]+Table8[[#This Row],[0]]</f>
        <v>20385060634</v>
      </c>
      <c r="F62" s="38">
        <f>(Table8[[#This Row],[52572784015.0000]]/Table8[[#This Row],[Column2]])*100</f>
        <v>0.47592288834124569</v>
      </c>
      <c r="G62" s="7">
        <v>20144014346</v>
      </c>
      <c r="H62" s="7">
        <v>23140193530</v>
      </c>
      <c r="I62" s="7">
        <v>14931468922</v>
      </c>
      <c r="J62" s="7">
        <f>Table8[[#This Row],[4437903043.0000]]+Table8[[#This Row],[64041288036]]+Table8[[#This Row],[Column7]]</f>
        <v>58215676798</v>
      </c>
      <c r="K62" s="38">
        <f>(Table8[[#This Row],[68479191079.0000]]/Table8[[#This Row],[Column1]])*100</f>
        <v>0.428879990057006</v>
      </c>
      <c r="L62" s="61">
        <v>13573885037225</v>
      </c>
      <c r="M62" s="61">
        <v>4283269650058</v>
      </c>
    </row>
    <row r="63" spans="1:13" ht="23.1" customHeight="1" x14ac:dyDescent="0.6">
      <c r="A63" s="6" t="s">
        <v>244</v>
      </c>
      <c r="B63" s="7">
        <v>37923456240</v>
      </c>
      <c r="C63" s="7">
        <v>86000264458</v>
      </c>
      <c r="D63" s="7">
        <v>22534913330</v>
      </c>
      <c r="E63" s="7">
        <f>Table8[[#This Row],[3840644296.0000]]+Table8[[#This Row],[48732139719]]+Table8[[#This Row],[0]]</f>
        <v>146458634028</v>
      </c>
      <c r="F63" s="38">
        <f>(Table8[[#This Row],[52572784015.0000]]/Table8[[#This Row],[Column2]])*100</f>
        <v>3.419318557868912</v>
      </c>
      <c r="G63" s="7">
        <v>37923456240</v>
      </c>
      <c r="H63" s="7">
        <v>206737303641</v>
      </c>
      <c r="I63" s="7">
        <v>30673068222</v>
      </c>
      <c r="J63" s="7">
        <f>Table8[[#This Row],[4437903043.0000]]+Table8[[#This Row],[64041288036]]+Table8[[#This Row],[Column7]]</f>
        <v>275333828103</v>
      </c>
      <c r="K63" s="38">
        <f>(Table8[[#This Row],[68479191079.0000]]/Table8[[#This Row],[Column1]])*100</f>
        <v>2.0284084280066095</v>
      </c>
      <c r="L63" s="61">
        <v>13573885037225</v>
      </c>
      <c r="M63" s="61">
        <v>4283269650058</v>
      </c>
    </row>
    <row r="64" spans="1:13" ht="23.1" customHeight="1" x14ac:dyDescent="0.6">
      <c r="A64" s="6" t="s">
        <v>245</v>
      </c>
      <c r="B64" s="7">
        <v>0</v>
      </c>
      <c r="C64" s="7">
        <v>89854022750</v>
      </c>
      <c r="D64" s="7">
        <v>32490883304</v>
      </c>
      <c r="E64" s="7">
        <f>Table8[[#This Row],[3840644296.0000]]+Table8[[#This Row],[48732139719]]+Table8[[#This Row],[0]]</f>
        <v>122344906054</v>
      </c>
      <c r="F64" s="38">
        <f>(Table8[[#This Row],[52572784015.0000]]/Table8[[#This Row],[Column2]])*100</f>
        <v>2.8563437758896018</v>
      </c>
      <c r="G64" s="7">
        <v>0</v>
      </c>
      <c r="H64" s="7">
        <v>285212439420</v>
      </c>
      <c r="I64" s="7">
        <v>46365860876</v>
      </c>
      <c r="J64" s="7">
        <f>Table8[[#This Row],[4437903043.0000]]+Table8[[#This Row],[64041288036]]+Table8[[#This Row],[Column7]]</f>
        <v>331578300296</v>
      </c>
      <c r="K64" s="38">
        <f>(Table8[[#This Row],[68479191079.0000]]/Table8[[#This Row],[Column1]])*100</f>
        <v>2.4427663810816154</v>
      </c>
      <c r="L64" s="61">
        <v>13573885037225</v>
      </c>
      <c r="M64" s="61">
        <v>4283269650058</v>
      </c>
    </row>
    <row r="65" spans="1:13" ht="23.1" customHeight="1" x14ac:dyDescent="0.6">
      <c r="A65" s="6" t="s">
        <v>246</v>
      </c>
      <c r="B65" s="7">
        <v>0</v>
      </c>
      <c r="C65" s="7">
        <v>1557996002</v>
      </c>
      <c r="D65" s="7">
        <v>12448281034</v>
      </c>
      <c r="E65" s="7">
        <f>Table8[[#This Row],[3840644296.0000]]+Table8[[#This Row],[48732139719]]+Table8[[#This Row],[0]]</f>
        <v>14006277036</v>
      </c>
      <c r="F65" s="38">
        <f>(Table8[[#This Row],[52572784015.0000]]/Table8[[#This Row],[Column2]])*100</f>
        <v>0.32699965634454836</v>
      </c>
      <c r="G65" s="7">
        <v>0</v>
      </c>
      <c r="H65" s="7">
        <v>18522883761</v>
      </c>
      <c r="I65" s="7">
        <v>14531333244</v>
      </c>
      <c r="J65" s="7">
        <f>Table8[[#This Row],[4437903043.0000]]+Table8[[#This Row],[64041288036]]+Table8[[#This Row],[Column7]]</f>
        <v>33054217005</v>
      </c>
      <c r="K65" s="38">
        <f>(Table8[[#This Row],[68479191079.0000]]/Table8[[#This Row],[Column1]])*100</f>
        <v>0.24351331188051298</v>
      </c>
      <c r="L65" s="61">
        <v>13573885037225</v>
      </c>
      <c r="M65" s="61">
        <v>4283269650058</v>
      </c>
    </row>
    <row r="66" spans="1:13" ht="23.1" customHeight="1" x14ac:dyDescent="0.6">
      <c r="A66" s="6" t="s">
        <v>247</v>
      </c>
      <c r="B66" s="7">
        <v>0</v>
      </c>
      <c r="C66" s="7">
        <v>262941400801</v>
      </c>
      <c r="D66" s="7">
        <f>'درآمد ناشی ازفروش'!F35</f>
        <v>28591684806</v>
      </c>
      <c r="E66" s="7">
        <f>Table8[[#This Row],[3840644296.0000]]+Table8[[#This Row],[48732139719]]+Table8[[#This Row],[0]]</f>
        <v>291533085607</v>
      </c>
      <c r="F66" s="38">
        <f>(Table8[[#This Row],[52572784015.0000]]/Table8[[#This Row],[Column2]])*100</f>
        <v>6.806321091716752</v>
      </c>
      <c r="G66" s="7">
        <v>0</v>
      </c>
      <c r="H66" s="7">
        <v>1353080505319</v>
      </c>
      <c r="I66" s="7">
        <f>'درآمد ناشی ازفروش'!K35</f>
        <v>79705262249</v>
      </c>
      <c r="J66" s="7">
        <f>Table8[[#This Row],[4437903043.0000]]+Table8[[#This Row],[64041288036]]+Table8[[#This Row],[Column7]]</f>
        <v>1432785767568</v>
      </c>
      <c r="K66" s="38">
        <f>(Table8[[#This Row],[68479191079.0000]]/Table8[[#This Row],[Column1]])*100</f>
        <v>10.555458246763774</v>
      </c>
      <c r="L66" s="61">
        <v>13573885037225</v>
      </c>
      <c r="M66" s="61">
        <v>4283269650058</v>
      </c>
    </row>
    <row r="67" spans="1:13" ht="23.1" customHeight="1" x14ac:dyDescent="0.6">
      <c r="A67" s="6" t="s">
        <v>248</v>
      </c>
      <c r="B67" s="7">
        <v>0</v>
      </c>
      <c r="C67" s="7">
        <v>42807046859</v>
      </c>
      <c r="D67" s="7">
        <v>496272043</v>
      </c>
      <c r="E67" s="7">
        <f>Table8[[#This Row],[3840644296.0000]]+Table8[[#This Row],[48732139719]]+Table8[[#This Row],[0]]</f>
        <v>43303318902</v>
      </c>
      <c r="F67" s="38">
        <f>(Table8[[#This Row],[52572784015.0000]]/Table8[[#This Row],[Column2]])*100</f>
        <v>1.0109874567764752</v>
      </c>
      <c r="G67" s="7">
        <v>0</v>
      </c>
      <c r="H67" s="7">
        <v>42807046859</v>
      </c>
      <c r="I67" s="7">
        <f>'درآمد ناشی ازفروش'!K42</f>
        <v>438402052</v>
      </c>
      <c r="J67" s="7">
        <f>Table8[[#This Row],[4437903043.0000]]+Table8[[#This Row],[64041288036]]+Table8[[#This Row],[Column7]]</f>
        <v>43245448911</v>
      </c>
      <c r="K67" s="38">
        <f>(Table8[[#This Row],[68479191079.0000]]/Table8[[#This Row],[Column1]])*100</f>
        <v>0.31859300997764278</v>
      </c>
      <c r="L67" s="61">
        <v>13573885037225</v>
      </c>
      <c r="M67" s="61">
        <v>4283269650058</v>
      </c>
    </row>
    <row r="68" spans="1:13" ht="23.1" customHeight="1" x14ac:dyDescent="0.6">
      <c r="A68" s="6" t="s">
        <v>249</v>
      </c>
      <c r="B68" s="7">
        <v>0</v>
      </c>
      <c r="C68" s="7">
        <v>8548706379</v>
      </c>
      <c r="D68" s="7">
        <v>1363042983</v>
      </c>
      <c r="E68" s="7">
        <f>Table8[[#This Row],[3840644296.0000]]+Table8[[#This Row],[48732139719]]+Table8[[#This Row],[0]]</f>
        <v>9911749362</v>
      </c>
      <c r="F68" s="38">
        <f>(Table8[[#This Row],[52572784015.0000]]/Table8[[#This Row],[Column2]])*100</f>
        <v>0.23140614931553014</v>
      </c>
      <c r="G68" s="7">
        <v>0</v>
      </c>
      <c r="H68" s="7">
        <v>227010163243</v>
      </c>
      <c r="I68" s="7">
        <v>7142013611</v>
      </c>
      <c r="J68" s="7">
        <f>Table8[[#This Row],[4437903043.0000]]+Table8[[#This Row],[64041288036]]+Table8[[#This Row],[Column7]]</f>
        <v>234152176854</v>
      </c>
      <c r="K68" s="38">
        <f>(Table8[[#This Row],[68479191079.0000]]/Table8[[#This Row],[Column1]])*100</f>
        <v>1.725019596172072</v>
      </c>
      <c r="L68" s="61">
        <v>13573885037225</v>
      </c>
      <c r="M68" s="61">
        <v>4283269650058</v>
      </c>
    </row>
    <row r="69" spans="1:13" ht="23.1" customHeight="1" x14ac:dyDescent="0.6">
      <c r="A69" s="6" t="s">
        <v>250</v>
      </c>
      <c r="B69" s="7">
        <v>0</v>
      </c>
      <c r="C69" s="7">
        <v>13108422935</v>
      </c>
      <c r="D69" s="7">
        <v>3261057731</v>
      </c>
      <c r="E69" s="7">
        <f>Table8[[#This Row],[3840644296.0000]]+Table8[[#This Row],[48732139719]]+Table8[[#This Row],[0]]</f>
        <v>16369480666</v>
      </c>
      <c r="F69" s="38">
        <f>(Table8[[#This Row],[52572784015.0000]]/Table8[[#This Row],[Column2]])*100</f>
        <v>0.38217254582088567</v>
      </c>
      <c r="G69" s="7">
        <v>0</v>
      </c>
      <c r="H69" s="7">
        <v>33445332259</v>
      </c>
      <c r="I69" s="7">
        <v>4662211572</v>
      </c>
      <c r="J69" s="7">
        <f>Table8[[#This Row],[4437903043.0000]]+Table8[[#This Row],[64041288036]]+Table8[[#This Row],[Column7]]</f>
        <v>38107543831</v>
      </c>
      <c r="K69" s="38">
        <f>(Table8[[#This Row],[68479191079.0000]]/Table8[[#This Row],[Column1]])*100</f>
        <v>0.28074161322638236</v>
      </c>
      <c r="L69" s="61">
        <v>13573885037225</v>
      </c>
      <c r="M69" s="61">
        <v>4283269650058</v>
      </c>
    </row>
    <row r="70" spans="1:13" ht="23.1" customHeight="1" x14ac:dyDescent="0.6">
      <c r="A70" s="6" t="s">
        <v>251</v>
      </c>
      <c r="B70" s="7">
        <v>22364133689</v>
      </c>
      <c r="C70" s="7">
        <v>-11251674269</v>
      </c>
      <c r="D70" s="7">
        <v>2623733196</v>
      </c>
      <c r="E70" s="7">
        <f>Table8[[#This Row],[3840644296.0000]]+Table8[[#This Row],[48732139719]]+Table8[[#This Row],[0]]</f>
        <v>13736192616</v>
      </c>
      <c r="F70" s="38">
        <f>(Table8[[#This Row],[52572784015.0000]]/Table8[[#This Row],[Column2]])*100</f>
        <v>0.32069408975486746</v>
      </c>
      <c r="G70" s="7">
        <v>22364133689</v>
      </c>
      <c r="H70" s="7">
        <v>23131225181</v>
      </c>
      <c r="I70" s="7">
        <v>8236535460</v>
      </c>
      <c r="J70" s="7">
        <f>Table8[[#This Row],[4437903043.0000]]+Table8[[#This Row],[64041288036]]+Table8[[#This Row],[Column7]]</f>
        <v>53731894330</v>
      </c>
      <c r="K70" s="38">
        <f>(Table8[[#This Row],[68479191079.0000]]/Table8[[#This Row],[Column1]])*100</f>
        <v>0.39584757188266834</v>
      </c>
      <c r="L70" s="61">
        <v>13573885037225</v>
      </c>
      <c r="M70" s="61">
        <v>4283269650058</v>
      </c>
    </row>
    <row r="71" spans="1:13" ht="23.1" customHeight="1" x14ac:dyDescent="0.6">
      <c r="A71" s="6" t="s">
        <v>252</v>
      </c>
      <c r="B71" s="7">
        <v>0</v>
      </c>
      <c r="C71" s="7">
        <v>5777365624</v>
      </c>
      <c r="D71" s="7">
        <v>2529239077</v>
      </c>
      <c r="E71" s="7">
        <f>Table8[[#This Row],[3840644296.0000]]+Table8[[#This Row],[48732139719]]+Table8[[#This Row],[0]]</f>
        <v>8306604701</v>
      </c>
      <c r="F71" s="38">
        <f>(Table8[[#This Row],[52572784015.0000]]/Table8[[#This Row],[Column2]])*100</f>
        <v>0.19393139773227958</v>
      </c>
      <c r="G71" s="7">
        <v>0</v>
      </c>
      <c r="H71" s="7">
        <v>35271575371</v>
      </c>
      <c r="I71" s="7">
        <v>3630112683</v>
      </c>
      <c r="J71" s="7">
        <f>Table8[[#This Row],[4437903043.0000]]+Table8[[#This Row],[64041288036]]+Table8[[#This Row],[Column7]]</f>
        <v>38901688054</v>
      </c>
      <c r="K71" s="38">
        <f>(Table8[[#This Row],[68479191079.0000]]/Table8[[#This Row],[Column1]])*100</f>
        <v>0.28659214327597493</v>
      </c>
      <c r="L71" s="61">
        <v>13573885037225</v>
      </c>
      <c r="M71" s="61">
        <v>4283269650058</v>
      </c>
    </row>
    <row r="72" spans="1:13" ht="23.1" customHeight="1" x14ac:dyDescent="0.6">
      <c r="A72" s="6" t="s">
        <v>253</v>
      </c>
      <c r="B72" s="7">
        <v>0</v>
      </c>
      <c r="C72" s="7">
        <v>44518645510</v>
      </c>
      <c r="D72" s="7">
        <v>11025948653</v>
      </c>
      <c r="E72" s="7">
        <f>Table8[[#This Row],[3840644296.0000]]+Table8[[#This Row],[48732139719]]+Table8[[#This Row],[0]]</f>
        <v>55544594163</v>
      </c>
      <c r="F72" s="38">
        <f>(Table8[[#This Row],[52572784015.0000]]/Table8[[#This Row],[Column2]])*100</f>
        <v>1.2967802333492562</v>
      </c>
      <c r="G72" s="7">
        <v>0</v>
      </c>
      <c r="H72" s="7">
        <v>60291306801</v>
      </c>
      <c r="I72" s="7">
        <v>16923981233</v>
      </c>
      <c r="J72" s="7">
        <f>Table8[[#This Row],[4437903043.0000]]+Table8[[#This Row],[64041288036]]+Table8[[#This Row],[Column7]]</f>
        <v>77215288034</v>
      </c>
      <c r="K72" s="38">
        <f>(Table8[[#This Row],[68479191079.0000]]/Table8[[#This Row],[Column1]])*100</f>
        <v>0.56885179020040999</v>
      </c>
      <c r="L72" s="61">
        <v>13573885037225</v>
      </c>
      <c r="M72" s="61">
        <v>4283269650058</v>
      </c>
    </row>
    <row r="73" spans="1:13" ht="23.1" customHeight="1" x14ac:dyDescent="0.6">
      <c r="A73" s="6" t="s">
        <v>254</v>
      </c>
      <c r="B73" s="7">
        <v>0</v>
      </c>
      <c r="C73" s="7">
        <v>960577769</v>
      </c>
      <c r="D73" s="7">
        <v>3178977050</v>
      </c>
      <c r="E73" s="7">
        <f>Table8[[#This Row],[3840644296.0000]]+Table8[[#This Row],[48732139719]]+Table8[[#This Row],[0]]</f>
        <v>4139554819</v>
      </c>
      <c r="F73" s="38">
        <f>(Table8[[#This Row],[52572784015.0000]]/Table8[[#This Row],[Column2]])*100</f>
        <v>9.6644740051421846E-2</v>
      </c>
      <c r="G73" s="7">
        <v>0</v>
      </c>
      <c r="H73" s="7">
        <v>15160024046</v>
      </c>
      <c r="I73" s="7">
        <v>7792979966</v>
      </c>
      <c r="J73" s="7">
        <f>Table8[[#This Row],[4437903043.0000]]+Table8[[#This Row],[64041288036]]+Table8[[#This Row],[Column7]]</f>
        <v>22953004012</v>
      </c>
      <c r="K73" s="38">
        <f>(Table8[[#This Row],[68479191079.0000]]/Table8[[#This Row],[Column1]])*100</f>
        <v>0.16909679100017216</v>
      </c>
      <c r="L73" s="61">
        <v>13573885037225</v>
      </c>
      <c r="M73" s="61">
        <v>4283269650058</v>
      </c>
    </row>
    <row r="74" spans="1:13" ht="23.1" customHeight="1" x14ac:dyDescent="0.6">
      <c r="A74" s="6" t="s">
        <v>255</v>
      </c>
      <c r="B74" s="7">
        <v>0</v>
      </c>
      <c r="C74" s="7">
        <v>738344437</v>
      </c>
      <c r="D74" s="7">
        <v>188817974</v>
      </c>
      <c r="E74" s="7">
        <f>Table8[[#This Row],[3840644296.0000]]+Table8[[#This Row],[48732139719]]+Table8[[#This Row],[0]]</f>
        <v>927162411</v>
      </c>
      <c r="F74" s="38">
        <f>(Table8[[#This Row],[52572784015.0000]]/Table8[[#This Row],[Column2]])*100</f>
        <v>2.1646136870870254E-2</v>
      </c>
      <c r="G74" s="7">
        <v>0</v>
      </c>
      <c r="H74" s="7">
        <v>24850079</v>
      </c>
      <c r="I74" s="7">
        <v>435837760</v>
      </c>
      <c r="J74" s="7">
        <f>Table8[[#This Row],[4437903043.0000]]+Table8[[#This Row],[64041288036]]+Table8[[#This Row],[Column7]]</f>
        <v>460687839</v>
      </c>
      <c r="K74" s="38">
        <f>(Table8[[#This Row],[68479191079.0000]]/Table8[[#This Row],[Column1]])*100</f>
        <v>3.3939276613630543E-3</v>
      </c>
      <c r="L74" s="61">
        <v>13573885037225</v>
      </c>
      <c r="M74" s="61">
        <v>4283269650058</v>
      </c>
    </row>
    <row r="75" spans="1:13" ht="23.1" customHeight="1" x14ac:dyDescent="0.6">
      <c r="A75" s="6" t="s">
        <v>256</v>
      </c>
      <c r="B75" s="7">
        <v>167400654482</v>
      </c>
      <c r="C75" s="7">
        <v>-248154549418</v>
      </c>
      <c r="D75" s="7">
        <v>10328294247</v>
      </c>
      <c r="E75" s="7">
        <f>Table8[[#This Row],[3840644296.0000]]+Table8[[#This Row],[48732139719]]+Table8[[#This Row],[0]]</f>
        <v>-70425600689</v>
      </c>
      <c r="F75" s="38">
        <f>(Table8[[#This Row],[52572784015.0000]]/Table8[[#This Row],[Column2]])*100</f>
        <v>-1.6442018934774829</v>
      </c>
      <c r="G75" s="7">
        <v>167400654482</v>
      </c>
      <c r="H75" s="7">
        <v>-106559908645</v>
      </c>
      <c r="I75" s="7">
        <v>15366929772</v>
      </c>
      <c r="J75" s="7">
        <f>Table8[[#This Row],[4437903043.0000]]+Table8[[#This Row],[64041288036]]+Table8[[#This Row],[Column7]]</f>
        <v>76207675609</v>
      </c>
      <c r="K75" s="38">
        <f>(Table8[[#This Row],[68479191079.0000]]/Table8[[#This Row],[Column1]])*100</f>
        <v>0.5614286212090952</v>
      </c>
      <c r="L75" s="61">
        <v>13573885037225</v>
      </c>
      <c r="M75" s="61">
        <v>4283269650058</v>
      </c>
    </row>
    <row r="76" spans="1:13" ht="23.1" customHeight="1" x14ac:dyDescent="0.6">
      <c r="A76" s="6" t="s">
        <v>257</v>
      </c>
      <c r="B76" s="7">
        <v>0</v>
      </c>
      <c r="C76" s="7">
        <v>19388167102</v>
      </c>
      <c r="D76" s="7">
        <v>14173655834</v>
      </c>
      <c r="E76" s="7">
        <f>Table8[[#This Row],[3840644296.0000]]+Table8[[#This Row],[48732139719]]+Table8[[#This Row],[0]]</f>
        <v>33561822936</v>
      </c>
      <c r="F76" s="38">
        <f>(Table8[[#This Row],[52572784015.0000]]/Table8[[#This Row],[Column2]])*100</f>
        <v>0.78355615401298728</v>
      </c>
      <c r="G76" s="7">
        <v>0</v>
      </c>
      <c r="H76" s="7">
        <v>58301180098</v>
      </c>
      <c r="I76" s="7">
        <v>18424053980</v>
      </c>
      <c r="J76" s="7">
        <f>Table8[[#This Row],[4437903043.0000]]+Table8[[#This Row],[64041288036]]+Table8[[#This Row],[Column7]]</f>
        <v>76725234078</v>
      </c>
      <c r="K76" s="38">
        <f>(Table8[[#This Row],[68479191079.0000]]/Table8[[#This Row],[Column1]])*100</f>
        <v>0.56524151978294235</v>
      </c>
      <c r="L76" s="61">
        <v>13573885037225</v>
      </c>
      <c r="M76" s="61">
        <v>4283269650058</v>
      </c>
    </row>
    <row r="77" spans="1:13" ht="23.1" customHeight="1" x14ac:dyDescent="0.6">
      <c r="A77" s="6" t="s">
        <v>258</v>
      </c>
      <c r="B77" s="7">
        <v>15401249569</v>
      </c>
      <c r="C77" s="7">
        <v>17819036768</v>
      </c>
      <c r="D77" s="7">
        <v>862359502</v>
      </c>
      <c r="E77" s="7">
        <f>Table8[[#This Row],[3840644296.0000]]+Table8[[#This Row],[48732139719]]+Table8[[#This Row],[0]]</f>
        <v>34082645839</v>
      </c>
      <c r="F77" s="38">
        <f>(Table8[[#This Row],[52572784015.0000]]/Table8[[#This Row],[Column2]])*100</f>
        <v>0.79571562436043419</v>
      </c>
      <c r="G77" s="7">
        <v>15401249569</v>
      </c>
      <c r="H77" s="7">
        <v>9689031353</v>
      </c>
      <c r="I77" s="7">
        <v>427999</v>
      </c>
      <c r="J77" s="7">
        <f>Table8[[#This Row],[4437903043.0000]]+Table8[[#This Row],[64041288036]]+Table8[[#This Row],[Column7]]</f>
        <v>25090708921</v>
      </c>
      <c r="K77" s="38">
        <f>(Table8[[#This Row],[68479191079.0000]]/Table8[[#This Row],[Column1]])*100</f>
        <v>0.18484545030543048</v>
      </c>
      <c r="L77" s="61">
        <v>13573885037225</v>
      </c>
      <c r="M77" s="61">
        <v>4283269650058</v>
      </c>
    </row>
    <row r="78" spans="1:13" ht="23.1" customHeight="1" x14ac:dyDescent="0.6">
      <c r="A78" s="6" t="s">
        <v>259</v>
      </c>
      <c r="B78" s="7">
        <v>0</v>
      </c>
      <c r="C78" s="7">
        <v>-1283402448</v>
      </c>
      <c r="D78" s="7">
        <v>2360977678</v>
      </c>
      <c r="E78" s="7">
        <f>Table8[[#This Row],[3840644296.0000]]+Table8[[#This Row],[48732139719]]+Table8[[#This Row],[0]]</f>
        <v>1077575230</v>
      </c>
      <c r="F78" s="38">
        <f>(Table8[[#This Row],[52572784015.0000]]/Table8[[#This Row],[Column2]])*100</f>
        <v>2.5157772403738544E-2</v>
      </c>
      <c r="G78" s="7">
        <v>0</v>
      </c>
      <c r="H78" s="7">
        <v>-329277816</v>
      </c>
      <c r="I78" s="7">
        <v>3885099438</v>
      </c>
      <c r="J78" s="7">
        <f>Table8[[#This Row],[4437903043.0000]]+Table8[[#This Row],[64041288036]]+Table8[[#This Row],[Column7]]</f>
        <v>3555821622</v>
      </c>
      <c r="K78" s="38">
        <f>(Table8[[#This Row],[68479191079.0000]]/Table8[[#This Row],[Column1]])*100</f>
        <v>2.6196049342163432E-2</v>
      </c>
      <c r="L78" s="61">
        <v>13573885037225</v>
      </c>
      <c r="M78" s="61">
        <v>4283269650058</v>
      </c>
    </row>
    <row r="79" spans="1:13" ht="23.1" customHeight="1" x14ac:dyDescent="0.6">
      <c r="A79" s="6" t="s">
        <v>260</v>
      </c>
      <c r="B79" s="7">
        <v>0</v>
      </c>
      <c r="C79" s="7">
        <v>-550260953</v>
      </c>
      <c r="D79" s="7">
        <v>14529801386</v>
      </c>
      <c r="E79" s="7">
        <f>Table8[[#This Row],[3840644296.0000]]+Table8[[#This Row],[48732139719]]+Table8[[#This Row],[0]]</f>
        <v>13979540433</v>
      </c>
      <c r="F79" s="38">
        <f>(Table8[[#This Row],[52572784015.0000]]/Table8[[#This Row],[Column2]])*100</f>
        <v>0.32637544621573622</v>
      </c>
      <c r="G79" s="7">
        <v>0</v>
      </c>
      <c r="H79" s="7">
        <v>26557086066</v>
      </c>
      <c r="I79" s="7">
        <v>20366664342</v>
      </c>
      <c r="J79" s="7">
        <f>Table8[[#This Row],[4437903043.0000]]+Table8[[#This Row],[64041288036]]+Table8[[#This Row],[Column7]]</f>
        <v>46923750408</v>
      </c>
      <c r="K79" s="38">
        <f>(Table8[[#This Row],[68479191079.0000]]/Table8[[#This Row],[Column1]])*100</f>
        <v>0.34569137928689087</v>
      </c>
      <c r="L79" s="61">
        <v>13573885037225</v>
      </c>
      <c r="M79" s="61">
        <v>4283269650058</v>
      </c>
    </row>
    <row r="80" spans="1:13" ht="23.1" customHeight="1" x14ac:dyDescent="0.6">
      <c r="A80" s="6" t="s">
        <v>261</v>
      </c>
      <c r="B80" s="7">
        <v>0</v>
      </c>
      <c r="C80" s="7">
        <v>20707876499</v>
      </c>
      <c r="D80" s="7">
        <v>2493800660</v>
      </c>
      <c r="E80" s="7">
        <f>Table8[[#This Row],[3840644296.0000]]+Table8[[#This Row],[48732139719]]+Table8[[#This Row],[0]]</f>
        <v>23201677159</v>
      </c>
      <c r="F80" s="38">
        <f>(Table8[[#This Row],[52572784015.0000]]/Table8[[#This Row],[Column2]])*100</f>
        <v>0.54168145026045289</v>
      </c>
      <c r="G80" s="7">
        <v>0</v>
      </c>
      <c r="H80" s="7">
        <v>53242329596</v>
      </c>
      <c r="I80" s="7">
        <v>4474025325</v>
      </c>
      <c r="J80" s="7">
        <f>Table8[[#This Row],[4437903043.0000]]+Table8[[#This Row],[64041288036]]+Table8[[#This Row],[Column7]]</f>
        <v>57716354921</v>
      </c>
      <c r="K80" s="38">
        <f>(Table8[[#This Row],[68479191079.0000]]/Table8[[#This Row],[Column1]])*100</f>
        <v>0.42520144205375815</v>
      </c>
      <c r="L80" s="61">
        <v>13573885037225</v>
      </c>
      <c r="M80" s="61">
        <v>4283269650058</v>
      </c>
    </row>
    <row r="81" spans="1:13" ht="23.1" customHeight="1" x14ac:dyDescent="0.6">
      <c r="A81" s="6" t="s">
        <v>262</v>
      </c>
      <c r="B81" s="7">
        <v>0</v>
      </c>
      <c r="C81" s="7">
        <v>-1256537916</v>
      </c>
      <c r="D81" s="7">
        <v>3921302632</v>
      </c>
      <c r="E81" s="7">
        <f>Table8[[#This Row],[3840644296.0000]]+Table8[[#This Row],[48732139719]]+Table8[[#This Row],[0]]</f>
        <v>2664764716</v>
      </c>
      <c r="F81" s="38">
        <f>(Table8[[#This Row],[52572784015.0000]]/Table8[[#This Row],[Column2]])*100</f>
        <v>6.2213330789573709E-2</v>
      </c>
      <c r="G81" s="7">
        <v>0</v>
      </c>
      <c r="H81" s="7">
        <v>2436833332</v>
      </c>
      <c r="I81" s="7">
        <v>6282836454</v>
      </c>
      <c r="J81" s="7">
        <f>Table8[[#This Row],[4437903043.0000]]+Table8[[#This Row],[64041288036]]+Table8[[#This Row],[Column7]]</f>
        <v>8719669786</v>
      </c>
      <c r="K81" s="38">
        <f>(Table8[[#This Row],[68479191079.0000]]/Table8[[#This Row],[Column1]])*100</f>
        <v>6.4238571065595385E-2</v>
      </c>
      <c r="L81" s="61">
        <v>13573885037225</v>
      </c>
      <c r="M81" s="61">
        <v>4283269650058</v>
      </c>
    </row>
    <row r="82" spans="1:13" ht="23.1" customHeight="1" x14ac:dyDescent="0.6">
      <c r="A82" s="6" t="s">
        <v>263</v>
      </c>
      <c r="B82" s="7">
        <v>24957932964</v>
      </c>
      <c r="C82" s="7">
        <v>-23625841631</v>
      </c>
      <c r="D82" s="7">
        <v>270361438</v>
      </c>
      <c r="E82" s="7">
        <f>Table8[[#This Row],[3840644296.0000]]+Table8[[#This Row],[48732139719]]+Table8[[#This Row],[0]]</f>
        <v>1602452771</v>
      </c>
      <c r="F82" s="38">
        <f>(Table8[[#This Row],[52572784015.0000]]/Table8[[#This Row],[Column2]])*100</f>
        <v>3.741190496793264E-2</v>
      </c>
      <c r="G82" s="7">
        <v>24957932964</v>
      </c>
      <c r="H82" s="7">
        <v>-3218911726</v>
      </c>
      <c r="I82" s="7">
        <v>1243816421</v>
      </c>
      <c r="J82" s="7">
        <f>Table8[[#This Row],[4437903043.0000]]+Table8[[#This Row],[64041288036]]+Table8[[#This Row],[Column7]]</f>
        <v>22982837659</v>
      </c>
      <c r="K82" s="38">
        <f>(Table8[[#This Row],[68479191079.0000]]/Table8[[#This Row],[Column1]])*100</f>
        <v>0.1693165780907375</v>
      </c>
      <c r="L82" s="61">
        <v>13573885037225</v>
      </c>
      <c r="M82" s="61">
        <v>4283269650058</v>
      </c>
    </row>
    <row r="83" spans="1:13" ht="23.1" customHeight="1" x14ac:dyDescent="0.6">
      <c r="A83" s="6" t="s">
        <v>264</v>
      </c>
      <c r="B83" s="7">
        <v>17028562</v>
      </c>
      <c r="C83" s="7">
        <v>-32305123</v>
      </c>
      <c r="D83" s="7">
        <v>241664208</v>
      </c>
      <c r="E83" s="7">
        <f>Table8[[#This Row],[3840644296.0000]]+Table8[[#This Row],[48732139719]]+Table8[[#This Row],[0]]</f>
        <v>226387647</v>
      </c>
      <c r="F83" s="38">
        <f>(Table8[[#This Row],[52572784015.0000]]/Table8[[#This Row],[Column2]])*100</f>
        <v>5.2853932975462908E-3</v>
      </c>
      <c r="G83" s="7">
        <v>17028562</v>
      </c>
      <c r="H83" s="7">
        <v>-12501126</v>
      </c>
      <c r="I83" s="7">
        <v>4479966940</v>
      </c>
      <c r="J83" s="7">
        <f>Table8[[#This Row],[4437903043.0000]]+Table8[[#This Row],[64041288036]]+Table8[[#This Row],[Column7]]</f>
        <v>4484494376</v>
      </c>
      <c r="K83" s="38">
        <f>(Table8[[#This Row],[68479191079.0000]]/Table8[[#This Row],[Column1]])*100</f>
        <v>3.3037662862929293E-2</v>
      </c>
      <c r="L83" s="61">
        <v>13573885037225</v>
      </c>
      <c r="M83" s="61">
        <v>4283269650058</v>
      </c>
    </row>
    <row r="84" spans="1:13" ht="23.1" customHeight="1" x14ac:dyDescent="0.6">
      <c r="A84" s="6" t="s">
        <v>265</v>
      </c>
      <c r="B84" s="7">
        <v>1682049941</v>
      </c>
      <c r="C84" s="7">
        <v>-703667246</v>
      </c>
      <c r="D84" s="7">
        <v>7208301</v>
      </c>
      <c r="E84" s="7">
        <f>Table8[[#This Row],[3840644296.0000]]+Table8[[#This Row],[48732139719]]+Table8[[#This Row],[0]]</f>
        <v>985590996</v>
      </c>
      <c r="F84" s="38">
        <f>(Table8[[#This Row],[52572784015.0000]]/Table8[[#This Row],[Column2]])*100</f>
        <v>2.3010248630661253E-2</v>
      </c>
      <c r="G84" s="7">
        <v>1682049941</v>
      </c>
      <c r="H84" s="7">
        <v>-682271609</v>
      </c>
      <c r="I84" s="7">
        <v>8133263739</v>
      </c>
      <c r="J84" s="7">
        <f>Table8[[#This Row],[4437903043.0000]]+Table8[[#This Row],[64041288036]]+Table8[[#This Row],[Column7]]</f>
        <v>9133042071</v>
      </c>
      <c r="K84" s="38">
        <f>(Table8[[#This Row],[68479191079.0000]]/Table8[[#This Row],[Column1]])*100</f>
        <v>6.7283920896291372E-2</v>
      </c>
      <c r="L84" s="61">
        <v>13573885037225</v>
      </c>
      <c r="M84" s="61">
        <v>4283269650058</v>
      </c>
    </row>
    <row r="85" spans="1:13" ht="23.1" customHeight="1" x14ac:dyDescent="0.6">
      <c r="A85" s="6" t="s">
        <v>266</v>
      </c>
      <c r="B85" s="7">
        <v>0</v>
      </c>
      <c r="C85" s="7">
        <v>-21523512158</v>
      </c>
      <c r="D85" s="7">
        <v>474420332</v>
      </c>
      <c r="E85" s="7">
        <f>Table8[[#This Row],[3840644296.0000]]+Table8[[#This Row],[48732139719]]+Table8[[#This Row],[0]]</f>
        <v>-21049091826</v>
      </c>
      <c r="F85" s="38">
        <f>(Table8[[#This Row],[52572784015.0000]]/Table8[[#This Row],[Column2]])*100</f>
        <v>-0.49142579257682206</v>
      </c>
      <c r="G85" s="7">
        <v>0</v>
      </c>
      <c r="H85" s="7">
        <v>217218611403</v>
      </c>
      <c r="I85" s="7">
        <v>7700991193</v>
      </c>
      <c r="J85" s="7">
        <f>Table8[[#This Row],[4437903043.0000]]+Table8[[#This Row],[64041288036]]+Table8[[#This Row],[Column7]]</f>
        <v>224919602596</v>
      </c>
      <c r="K85" s="38">
        <f>(Table8[[#This Row],[68479191079.0000]]/Table8[[#This Row],[Column1]])*100</f>
        <v>1.65700241293617</v>
      </c>
      <c r="L85" s="61">
        <v>13573885037225</v>
      </c>
      <c r="M85" s="61">
        <v>4283269650058</v>
      </c>
    </row>
    <row r="86" spans="1:13" ht="23.1" customHeight="1" x14ac:dyDescent="0.6">
      <c r="A86" s="6" t="s">
        <v>267</v>
      </c>
      <c r="B86" s="7">
        <v>0</v>
      </c>
      <c r="C86" s="7">
        <v>-14026253574</v>
      </c>
      <c r="D86" s="7">
        <v>493724495</v>
      </c>
      <c r="E86" s="7">
        <f>Table8[[#This Row],[3840644296.0000]]+Table8[[#This Row],[48732139719]]+Table8[[#This Row],[0]]</f>
        <v>-13532529079</v>
      </c>
      <c r="F86" s="38">
        <f>(Table8[[#This Row],[52572784015.0000]]/Table8[[#This Row],[Column2]])*100</f>
        <v>-0.31593922831397636</v>
      </c>
      <c r="G86" s="7">
        <v>0</v>
      </c>
      <c r="H86" s="7">
        <v>79158165259</v>
      </c>
      <c r="I86" s="7">
        <v>32307218256</v>
      </c>
      <c r="J86" s="7">
        <f>Table8[[#This Row],[4437903043.0000]]+Table8[[#This Row],[64041288036]]+Table8[[#This Row],[Column7]]</f>
        <v>111465383515</v>
      </c>
      <c r="K86" s="38">
        <f>(Table8[[#This Row],[68479191079.0000]]/Table8[[#This Row],[Column1]])*100</f>
        <v>0.8211752435600973</v>
      </c>
      <c r="L86" s="61">
        <v>13573885037225</v>
      </c>
      <c r="M86" s="61">
        <v>4283269650058</v>
      </c>
    </row>
    <row r="87" spans="1:13" ht="23.1" customHeight="1" x14ac:dyDescent="0.6">
      <c r="A87" s="6" t="s">
        <v>268</v>
      </c>
      <c r="B87" s="7">
        <v>0</v>
      </c>
      <c r="C87" s="7">
        <v>-9312256327</v>
      </c>
      <c r="D87" s="7">
        <v>4169098010</v>
      </c>
      <c r="E87" s="7">
        <f>Table8[[#This Row],[3840644296.0000]]+Table8[[#This Row],[48732139719]]+Table8[[#This Row],[0]]</f>
        <v>-5143158317</v>
      </c>
      <c r="F87" s="38">
        <f>(Table8[[#This Row],[52572784015.0000]]/Table8[[#This Row],[Column2]])*100</f>
        <v>-0.12007552027293814</v>
      </c>
      <c r="G87" s="7">
        <v>0</v>
      </c>
      <c r="H87" s="7">
        <v>32814388186</v>
      </c>
      <c r="I87" s="7">
        <v>8185621648</v>
      </c>
      <c r="J87" s="7">
        <f>Table8[[#This Row],[4437903043.0000]]+Table8[[#This Row],[64041288036]]+Table8[[#This Row],[Column7]]</f>
        <v>41000009834</v>
      </c>
      <c r="K87" s="38">
        <f>(Table8[[#This Row],[68479191079.0000]]/Table8[[#This Row],[Column1]])*100</f>
        <v>0.30205066362033889</v>
      </c>
      <c r="L87" s="61">
        <v>13573885037225</v>
      </c>
      <c r="M87" s="61">
        <v>4283269650058</v>
      </c>
    </row>
    <row r="88" spans="1:13" ht="23.1" customHeight="1" x14ac:dyDescent="0.6">
      <c r="A88" s="6" t="s">
        <v>269</v>
      </c>
      <c r="B88" s="7">
        <v>2320553440</v>
      </c>
      <c r="C88" s="7">
        <v>639916167</v>
      </c>
      <c r="D88" s="7">
        <v>1125136356</v>
      </c>
      <c r="E88" s="7">
        <f>Table8[[#This Row],[3840644296.0000]]+Table8[[#This Row],[48732139719]]+Table8[[#This Row],[0]]</f>
        <v>4085605963</v>
      </c>
      <c r="F88" s="38">
        <f>(Table8[[#This Row],[52572784015.0000]]/Table8[[#This Row],[Column2]])*100</f>
        <v>9.5385214959433529E-2</v>
      </c>
      <c r="G88" s="7">
        <v>2320553440</v>
      </c>
      <c r="H88" s="7">
        <v>5564829489</v>
      </c>
      <c r="I88" s="7">
        <v>2111592455</v>
      </c>
      <c r="J88" s="7">
        <f>Table8[[#This Row],[4437903043.0000]]+Table8[[#This Row],[64041288036]]+Table8[[#This Row],[Column7]]</f>
        <v>9996975384</v>
      </c>
      <c r="K88" s="38">
        <f>(Table8[[#This Row],[68479191079.0000]]/Table8[[#This Row],[Column1]])*100</f>
        <v>7.3648593284710392E-2</v>
      </c>
      <c r="L88" s="61">
        <v>13573885037225</v>
      </c>
      <c r="M88" s="61">
        <v>4283269650058</v>
      </c>
    </row>
    <row r="89" spans="1:13" ht="23.1" customHeight="1" x14ac:dyDescent="0.6">
      <c r="A89" s="6" t="s">
        <v>270</v>
      </c>
      <c r="B89" s="7">
        <v>0</v>
      </c>
      <c r="C89" s="7">
        <v>-816641980</v>
      </c>
      <c r="D89" s="7">
        <v>2093315068</v>
      </c>
      <c r="E89" s="7">
        <f>Table8[[#This Row],[3840644296.0000]]+Table8[[#This Row],[48732139719]]+Table8[[#This Row],[0]]</f>
        <v>1276673088</v>
      </c>
      <c r="F89" s="38">
        <f>(Table8[[#This Row],[52572784015.0000]]/Table8[[#This Row],[Column2]])*100</f>
        <v>2.9806040532206802E-2</v>
      </c>
      <c r="G89" s="7">
        <v>0</v>
      </c>
      <c r="H89" s="7">
        <v>8394274492</v>
      </c>
      <c r="I89" s="7">
        <v>8890417522</v>
      </c>
      <c r="J89" s="7">
        <f>Table8[[#This Row],[4437903043.0000]]+Table8[[#This Row],[64041288036]]+Table8[[#This Row],[Column7]]</f>
        <v>17284692014</v>
      </c>
      <c r="K89" s="38">
        <f>(Table8[[#This Row],[68479191079.0000]]/Table8[[#This Row],[Column1]])*100</f>
        <v>0.12733784002589155</v>
      </c>
      <c r="L89" s="61">
        <v>13573885037225</v>
      </c>
      <c r="M89" s="61">
        <v>4283269650058</v>
      </c>
    </row>
    <row r="90" spans="1:13" ht="23.1" customHeight="1" x14ac:dyDescent="0.6">
      <c r="A90" s="6" t="s">
        <v>271</v>
      </c>
      <c r="B90" s="7">
        <v>0</v>
      </c>
      <c r="C90" s="7">
        <v>-26057342606</v>
      </c>
      <c r="D90" s="7">
        <v>3028530378</v>
      </c>
      <c r="E90" s="7">
        <f>Table8[[#This Row],[3840644296.0000]]+Table8[[#This Row],[48732139719]]+Table8[[#This Row],[0]]</f>
        <v>-23028812228</v>
      </c>
      <c r="F90" s="38">
        <f>(Table8[[#This Row],[52572784015.0000]]/Table8[[#This Row],[Column2]])*100</f>
        <v>-0.53764563311320279</v>
      </c>
      <c r="G90" s="7">
        <v>0</v>
      </c>
      <c r="H90" s="7">
        <v>7642484625</v>
      </c>
      <c r="I90" s="7">
        <v>4762925645</v>
      </c>
      <c r="J90" s="7">
        <f>Table8[[#This Row],[4437903043.0000]]+Table8[[#This Row],[64041288036]]+Table8[[#This Row],[Column7]]</f>
        <v>12405410270</v>
      </c>
      <c r="K90" s="38">
        <f>(Table8[[#This Row],[68479191079.0000]]/Table8[[#This Row],[Column1]])*100</f>
        <v>9.1391744043650164E-2</v>
      </c>
      <c r="L90" s="61">
        <v>13573885037225</v>
      </c>
      <c r="M90" s="61">
        <v>4283269650058</v>
      </c>
    </row>
    <row r="91" spans="1:13" ht="23.1" customHeight="1" x14ac:dyDescent="0.6">
      <c r="A91" s="6" t="s">
        <v>272</v>
      </c>
      <c r="B91" s="7">
        <v>0</v>
      </c>
      <c r="C91" s="7">
        <v>-959294306624</v>
      </c>
      <c r="D91" s="7">
        <v>0</v>
      </c>
      <c r="E91" s="7">
        <f>Table8[[#This Row],[3840644296.0000]]+Table8[[#This Row],[48732139719]]+Table8[[#This Row],[0]]</f>
        <v>-959294306624</v>
      </c>
      <c r="F91" s="38">
        <f>(Table8[[#This Row],[52572784015.0000]]/Table8[[#This Row],[Column2]])*100</f>
        <v>-22.39630901152838</v>
      </c>
      <c r="G91" s="7">
        <v>0</v>
      </c>
      <c r="H91" s="7">
        <v>-1364518950646</v>
      </c>
      <c r="I91" s="7">
        <v>0</v>
      </c>
      <c r="J91" s="7">
        <f>Table8[[#This Row],[4437903043.0000]]+Table8[[#This Row],[64041288036]]+Table8[[#This Row],[Column7]]</f>
        <v>-1364518950646</v>
      </c>
      <c r="K91" s="38">
        <f>(Table8[[#This Row],[68479191079.0000]]/Table8[[#This Row],[Column1]])*100</f>
        <v>-10.052530627038211</v>
      </c>
      <c r="L91" s="61">
        <v>13573885037225</v>
      </c>
      <c r="M91" s="61">
        <v>4283269650058</v>
      </c>
    </row>
    <row r="92" spans="1:13" ht="23.1" customHeight="1" x14ac:dyDescent="0.6">
      <c r="A92" s="6" t="s">
        <v>343</v>
      </c>
      <c r="B92" s="7">
        <v>0</v>
      </c>
      <c r="C92" s="7">
        <v>0</v>
      </c>
      <c r="D92" s="7">
        <v>0</v>
      </c>
      <c r="E92" s="7">
        <f>Table8[[#This Row],[3840644296.0000]]+Table8[[#This Row],[48732139719]]+Table8[[#This Row],[0]]</f>
        <v>0</v>
      </c>
      <c r="F92" s="38">
        <f>(Table8[[#This Row],[52572784015.0000]]/Table8[[#This Row],[Column2]])*100</f>
        <v>0</v>
      </c>
      <c r="G92" s="7">
        <v>0</v>
      </c>
      <c r="H92" s="7">
        <v>217571559033</v>
      </c>
      <c r="I92" s="7">
        <v>0</v>
      </c>
      <c r="J92" s="7">
        <f>Table8[[#This Row],[4437903043.0000]]+Table8[[#This Row],[64041288036]]+Table8[[#This Row],[Column7]]</f>
        <v>217571559033</v>
      </c>
      <c r="K92" s="38">
        <f>(Table8[[#This Row],[68479191079.0000]]/Table8[[#This Row],[Column1]])*100</f>
        <v>1.6028687323955677</v>
      </c>
      <c r="L92" s="61">
        <v>13573885037225</v>
      </c>
      <c r="M92" s="61">
        <v>4283269650058</v>
      </c>
    </row>
    <row r="93" spans="1:13" ht="23.1" customHeight="1" x14ac:dyDescent="0.6">
      <c r="A93" s="6" t="s">
        <v>273</v>
      </c>
      <c r="B93" s="7">
        <v>0</v>
      </c>
      <c r="C93" s="7">
        <v>-13587717332</v>
      </c>
      <c r="D93" s="7">
        <v>0</v>
      </c>
      <c r="E93" s="7">
        <f>Table8[[#This Row],[3840644296.0000]]+Table8[[#This Row],[48732139719]]+Table8[[#This Row],[0]]</f>
        <v>-13587717332</v>
      </c>
      <c r="F93" s="38">
        <f>(Table8[[#This Row],[52572784015.0000]]/Table8[[#This Row],[Column2]])*100</f>
        <v>-0.31722768917469407</v>
      </c>
      <c r="G93" s="7">
        <v>0</v>
      </c>
      <c r="H93" s="7">
        <v>394868401</v>
      </c>
      <c r="I93" s="7">
        <v>0</v>
      </c>
      <c r="J93" s="7">
        <f>Table8[[#This Row],[4437903043.0000]]+Table8[[#This Row],[64041288036]]+Table8[[#This Row],[Column7]]</f>
        <v>394868401</v>
      </c>
      <c r="K93" s="38">
        <f>(Table8[[#This Row],[68479191079.0000]]/Table8[[#This Row],[Column1]])*100</f>
        <v>2.9090300965207345E-3</v>
      </c>
      <c r="L93" s="61">
        <v>13573885037225</v>
      </c>
      <c r="M93" s="61">
        <v>4283269650058</v>
      </c>
    </row>
    <row r="94" spans="1:13" ht="23.1" customHeight="1" x14ac:dyDescent="0.6">
      <c r="A94" s="6" t="s">
        <v>274</v>
      </c>
      <c r="B94" s="7">
        <v>0</v>
      </c>
      <c r="C94" s="7">
        <v>2054730369</v>
      </c>
      <c r="D94" s="7">
        <v>0</v>
      </c>
      <c r="E94" s="7">
        <f>Table8[[#This Row],[3840644296.0000]]+Table8[[#This Row],[48732139719]]+Table8[[#This Row],[0]]</f>
        <v>2054730369</v>
      </c>
      <c r="F94" s="38">
        <f>(Table8[[#This Row],[52572784015.0000]]/Table8[[#This Row],[Column2]])*100</f>
        <v>4.7971072028401875E-2</v>
      </c>
      <c r="G94" s="7">
        <v>0</v>
      </c>
      <c r="H94" s="7">
        <v>948670979</v>
      </c>
      <c r="I94" s="7">
        <v>0</v>
      </c>
      <c r="J94" s="7">
        <f>Table8[[#This Row],[4437903043.0000]]+Table8[[#This Row],[64041288036]]+Table8[[#This Row],[Column7]]</f>
        <v>948670979</v>
      </c>
      <c r="K94" s="38">
        <f>(Table8[[#This Row],[68479191079.0000]]/Table8[[#This Row],[Column1]])*100</f>
        <v>6.9889421959768066E-3</v>
      </c>
      <c r="L94" s="61">
        <v>13573885037225</v>
      </c>
      <c r="M94" s="61">
        <v>4283269650058</v>
      </c>
    </row>
    <row r="95" spans="1:13" ht="23.1" customHeight="1" x14ac:dyDescent="0.6">
      <c r="A95" s="6" t="s">
        <v>344</v>
      </c>
      <c r="B95" s="7">
        <v>0</v>
      </c>
      <c r="C95" s="7">
        <v>0</v>
      </c>
      <c r="D95" s="7">
        <v>0</v>
      </c>
      <c r="E95" s="7">
        <f>Table8[[#This Row],[3840644296.0000]]+Table8[[#This Row],[48732139719]]+Table8[[#This Row],[0]]</f>
        <v>0</v>
      </c>
      <c r="F95" s="38">
        <f>(Table8[[#This Row],[52572784015.0000]]/Table8[[#This Row],[Column2]])*100</f>
        <v>0</v>
      </c>
      <c r="G95" s="7">
        <v>0</v>
      </c>
      <c r="H95" s="7">
        <v>172419701665</v>
      </c>
      <c r="I95" s="7">
        <v>0</v>
      </c>
      <c r="J95" s="7">
        <f>Table8[[#This Row],[4437903043.0000]]+Table8[[#This Row],[64041288036]]+Table8[[#This Row],[Column7]]</f>
        <v>172419701665</v>
      </c>
      <c r="K95" s="38">
        <f>(Table8[[#This Row],[68479191079.0000]]/Table8[[#This Row],[Column1]])*100</f>
        <v>1.2702310443337077</v>
      </c>
      <c r="L95" s="61">
        <v>13573885037225</v>
      </c>
      <c r="M95" s="61">
        <v>4283269650058</v>
      </c>
    </row>
    <row r="96" spans="1:13" ht="23.1" customHeight="1" x14ac:dyDescent="0.6">
      <c r="A96" s="6" t="s">
        <v>345</v>
      </c>
      <c r="B96" s="7">
        <v>0</v>
      </c>
      <c r="C96" s="7">
        <v>0</v>
      </c>
      <c r="D96" s="7">
        <v>0</v>
      </c>
      <c r="E96" s="7">
        <f>Table8[[#This Row],[3840644296.0000]]+Table8[[#This Row],[48732139719]]+Table8[[#This Row],[0]]</f>
        <v>0</v>
      </c>
      <c r="F96" s="38">
        <f>(Table8[[#This Row],[52572784015.0000]]/Table8[[#This Row],[Column2]])*100</f>
        <v>0</v>
      </c>
      <c r="G96" s="7">
        <v>0</v>
      </c>
      <c r="H96" s="7">
        <v>81745678602</v>
      </c>
      <c r="I96" s="7">
        <v>0</v>
      </c>
      <c r="J96" s="7">
        <f>Table8[[#This Row],[4437903043.0000]]+Table8[[#This Row],[64041288036]]+Table8[[#This Row],[Column7]]</f>
        <v>81745678602</v>
      </c>
      <c r="K96" s="38">
        <f>(Table8[[#This Row],[68479191079.0000]]/Table8[[#This Row],[Column1]])*100</f>
        <v>0.60222757432983109</v>
      </c>
      <c r="L96" s="61">
        <v>13573885037225</v>
      </c>
      <c r="M96" s="61">
        <v>4283269650058</v>
      </c>
    </row>
    <row r="97" spans="1:13" ht="23.1" customHeight="1" x14ac:dyDescent="0.6">
      <c r="A97" s="6" t="s">
        <v>275</v>
      </c>
      <c r="B97" s="7">
        <v>0</v>
      </c>
      <c r="C97" s="7">
        <v>169927038</v>
      </c>
      <c r="D97" s="7">
        <v>0</v>
      </c>
      <c r="E97" s="7">
        <f>Table8[[#This Row],[3840644296.0000]]+Table8[[#This Row],[48732139719]]+Table8[[#This Row],[0]]</f>
        <v>169927038</v>
      </c>
      <c r="F97" s="38">
        <f>(Table8[[#This Row],[52572784015.0000]]/Table8[[#This Row],[Column2]])*100</f>
        <v>3.9672271858415221E-3</v>
      </c>
      <c r="G97" s="7">
        <v>0</v>
      </c>
      <c r="H97" s="7">
        <v>169927038</v>
      </c>
      <c r="I97" s="7">
        <v>0</v>
      </c>
      <c r="J97" s="7">
        <f>Table8[[#This Row],[4437903043.0000]]+Table8[[#This Row],[64041288036]]+Table8[[#This Row],[Column7]]</f>
        <v>169927038</v>
      </c>
      <c r="K97" s="38">
        <f>(Table8[[#This Row],[68479191079.0000]]/Table8[[#This Row],[Column1]])*100</f>
        <v>1.2518673727823122E-3</v>
      </c>
      <c r="L97" s="61">
        <v>13573885037225</v>
      </c>
      <c r="M97" s="61">
        <v>4283269650058</v>
      </c>
    </row>
    <row r="98" spans="1:13" ht="23.1" customHeight="1" x14ac:dyDescent="0.6">
      <c r="A98" s="6" t="s">
        <v>346</v>
      </c>
      <c r="B98" s="7">
        <v>0</v>
      </c>
      <c r="C98" s="7">
        <v>0</v>
      </c>
      <c r="D98" s="7">
        <v>0</v>
      </c>
      <c r="E98" s="7">
        <f>Table8[[#This Row],[3840644296.0000]]+Table8[[#This Row],[48732139719]]+Table8[[#This Row],[0]]</f>
        <v>0</v>
      </c>
      <c r="F98" s="38">
        <f>(Table8[[#This Row],[52572784015.0000]]/Table8[[#This Row],[Column2]])*100</f>
        <v>0</v>
      </c>
      <c r="G98" s="7">
        <v>0</v>
      </c>
      <c r="H98" s="7">
        <v>57237750718</v>
      </c>
      <c r="I98" s="7">
        <v>0</v>
      </c>
      <c r="J98" s="7">
        <f>Table8[[#This Row],[4437903043.0000]]+Table8[[#This Row],[64041288036]]+Table8[[#This Row],[Column7]]</f>
        <v>57237750718</v>
      </c>
      <c r="K98" s="38">
        <f>(Table8[[#This Row],[68479191079.0000]]/Table8[[#This Row],[Column1]])*100</f>
        <v>0.42167552296952038</v>
      </c>
      <c r="L98" s="61">
        <v>13573885037225</v>
      </c>
      <c r="M98" s="61">
        <v>4283269650058</v>
      </c>
    </row>
    <row r="99" spans="1:13" ht="23.1" customHeight="1" x14ac:dyDescent="0.6">
      <c r="A99" s="6" t="s">
        <v>276</v>
      </c>
      <c r="B99" s="7">
        <v>0</v>
      </c>
      <c r="C99" s="7">
        <v>-6597688282</v>
      </c>
      <c r="D99" s="7">
        <v>43543269976</v>
      </c>
      <c r="E99" s="7">
        <f>Table8[[#This Row],[3840644296.0000]]+Table8[[#This Row],[48732139719]]+Table8[[#This Row],[0]]</f>
        <v>36945581694</v>
      </c>
      <c r="F99" s="38">
        <f>(Table8[[#This Row],[52572784015.0000]]/Table8[[#This Row],[Column2]])*100</f>
        <v>0.86255558749376693</v>
      </c>
      <c r="G99" s="7">
        <v>0</v>
      </c>
      <c r="H99" s="7">
        <v>9308230035</v>
      </c>
      <c r="I99" s="7">
        <v>48632143864</v>
      </c>
      <c r="J99" s="7">
        <f>Table8[[#This Row],[4437903043.0000]]+Table8[[#This Row],[64041288036]]+Table8[[#This Row],[Column7]]</f>
        <v>57940373899</v>
      </c>
      <c r="K99" s="38">
        <f>(Table8[[#This Row],[68479191079.0000]]/Table8[[#This Row],[Column1]])*100</f>
        <v>0.42685180948641027</v>
      </c>
      <c r="L99" s="61">
        <v>13573885037225</v>
      </c>
      <c r="M99" s="61">
        <v>4283269650058</v>
      </c>
    </row>
    <row r="100" spans="1:13" ht="23.1" customHeight="1" thickBot="1" x14ac:dyDescent="0.65">
      <c r="A100" s="6" t="s">
        <v>178</v>
      </c>
      <c r="B100" s="40">
        <f t="shared" ref="B100:K100" si="0">SUM(B11:B99)</f>
        <v>414794164136</v>
      </c>
      <c r="C100" s="40">
        <f t="shared" si="0"/>
        <v>2963169597330</v>
      </c>
      <c r="D100" s="40">
        <f t="shared" si="0"/>
        <v>784183380247</v>
      </c>
      <c r="E100" s="40">
        <f t="shared" si="0"/>
        <v>4162147141713</v>
      </c>
      <c r="F100" s="41">
        <f t="shared" si="0"/>
        <v>97.172195116332205</v>
      </c>
      <c r="G100" s="40">
        <f t="shared" si="0"/>
        <v>414794164136</v>
      </c>
      <c r="H100" s="40">
        <f t="shared" si="0"/>
        <v>11740749154073</v>
      </c>
      <c r="I100" s="40">
        <f t="shared" si="0"/>
        <v>1199665004591</v>
      </c>
      <c r="J100" s="40">
        <f t="shared" si="0"/>
        <v>13355208322800</v>
      </c>
      <c r="K100" s="41">
        <f t="shared" si="0"/>
        <v>98.388989491031495</v>
      </c>
    </row>
    <row r="101" spans="1:13" ht="23.1" customHeight="1" thickTop="1" x14ac:dyDescent="0.6">
      <c r="A101" s="6" t="s">
        <v>179</v>
      </c>
      <c r="B101" s="16"/>
      <c r="C101" s="16"/>
      <c r="D101" s="16"/>
      <c r="E101" s="16"/>
      <c r="F101" s="59"/>
      <c r="G101" s="16"/>
      <c r="H101" s="16"/>
      <c r="I101" s="16"/>
      <c r="J101" s="16"/>
      <c r="K101" s="59"/>
    </row>
    <row r="102" spans="1:13" x14ac:dyDescent="0.6">
      <c r="D102" s="55"/>
      <c r="H102" s="55"/>
    </row>
    <row r="103" spans="1:13" x14ac:dyDescent="0.6">
      <c r="D103" s="55"/>
      <c r="H103" s="55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scale="55" orientation="landscape" r:id="rId1"/>
  <headerFooter differentOddEven="1" differentFirst="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rightToLeft="1" view="pageBreakPreview" topLeftCell="A10" zoomScale="106" zoomScaleNormal="100" zoomScaleSheetLayoutView="106" workbookViewId="0">
      <selection activeCell="G30" sqref="G30"/>
    </sheetView>
  </sheetViews>
  <sheetFormatPr defaultRowHeight="22.5" x14ac:dyDescent="0.6"/>
  <cols>
    <col min="1" max="1" width="30" style="8" bestFit="1" customWidth="1"/>
    <col min="2" max="2" width="14.28515625" style="8" bestFit="1" customWidth="1"/>
    <col min="3" max="4" width="14.5703125" style="8" bestFit="1" customWidth="1"/>
    <col min="5" max="6" width="15.140625" style="8" bestFit="1" customWidth="1"/>
    <col min="7" max="8" width="14.5703125" style="8" bestFit="1" customWidth="1"/>
    <col min="9" max="9" width="15.140625" style="8" bestFit="1" customWidth="1"/>
    <col min="10" max="10" width="9.140625" style="1" customWidth="1"/>
    <col min="11" max="16384" width="9.140625" style="1"/>
  </cols>
  <sheetData>
    <row r="1" spans="1:9" x14ac:dyDescent="0.6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x14ac:dyDescent="0.6">
      <c r="A2" s="63" t="s">
        <v>316</v>
      </c>
      <c r="B2" s="63"/>
      <c r="C2" s="63"/>
      <c r="D2" s="63"/>
      <c r="E2" s="63"/>
      <c r="F2" s="63"/>
      <c r="G2" s="63"/>
      <c r="H2" s="63"/>
      <c r="I2" s="63"/>
    </row>
    <row r="3" spans="1:9" x14ac:dyDescent="0.6">
      <c r="A3" s="63" t="s">
        <v>317</v>
      </c>
      <c r="B3" s="63"/>
      <c r="C3" s="63"/>
      <c r="D3" s="63"/>
      <c r="E3" s="63"/>
      <c r="F3" s="63"/>
      <c r="G3" s="63"/>
      <c r="H3" s="63"/>
      <c r="I3" s="63"/>
    </row>
    <row r="4" spans="1:9" x14ac:dyDescent="0.6">
      <c r="A4" s="88" t="s">
        <v>318</v>
      </c>
      <c r="B4" s="88"/>
      <c r="C4" s="88"/>
      <c r="D4" s="88"/>
      <c r="E4" s="88"/>
      <c r="F4" s="88"/>
      <c r="G4" s="88"/>
      <c r="H4" s="88"/>
      <c r="I4" s="88"/>
    </row>
    <row r="6" spans="1:9" ht="19.5" customHeight="1" x14ac:dyDescent="0.6">
      <c r="A6" s="4"/>
      <c r="B6" s="87" t="s">
        <v>408</v>
      </c>
      <c r="C6" s="87"/>
      <c r="D6" s="87"/>
      <c r="E6" s="87"/>
      <c r="F6" s="87" t="s">
        <v>319</v>
      </c>
      <c r="G6" s="87"/>
      <c r="H6" s="87"/>
      <c r="I6" s="87"/>
    </row>
    <row r="7" spans="1:9" ht="20.25" customHeight="1" x14ac:dyDescent="0.6">
      <c r="A7" s="89"/>
      <c r="B7" s="85" t="s">
        <v>320</v>
      </c>
      <c r="C7" s="85" t="s">
        <v>321</v>
      </c>
      <c r="D7" s="85" t="s">
        <v>322</v>
      </c>
      <c r="E7" s="85" t="s">
        <v>178</v>
      </c>
      <c r="F7" s="85" t="s">
        <v>320</v>
      </c>
      <c r="G7" s="85" t="s">
        <v>321</v>
      </c>
      <c r="H7" s="85" t="s">
        <v>322</v>
      </c>
      <c r="I7" s="85" t="s">
        <v>178</v>
      </c>
    </row>
    <row r="8" spans="1:9" ht="20.25" customHeight="1" x14ac:dyDescent="0.6">
      <c r="A8" s="90"/>
      <c r="B8" s="86"/>
      <c r="C8" s="86"/>
      <c r="D8" s="86"/>
      <c r="E8" s="86"/>
      <c r="F8" s="86"/>
      <c r="G8" s="86"/>
      <c r="H8" s="86"/>
      <c r="I8" s="86"/>
    </row>
    <row r="9" spans="1:9" ht="1.5" customHeight="1" x14ac:dyDescent="0.6">
      <c r="A9" s="90"/>
      <c r="B9" s="13"/>
      <c r="C9" s="13"/>
      <c r="D9" s="13"/>
      <c r="E9" s="87"/>
      <c r="F9" s="13"/>
      <c r="G9" s="13"/>
      <c r="H9" s="13"/>
      <c r="I9" s="87"/>
    </row>
    <row r="10" spans="1:9" ht="23.1" customHeight="1" x14ac:dyDescent="0.6">
      <c r="A10" s="6" t="s">
        <v>323</v>
      </c>
      <c r="B10" s="7">
        <v>0</v>
      </c>
      <c r="C10" s="7">
        <v>0</v>
      </c>
      <c r="D10" s="7">
        <v>0</v>
      </c>
      <c r="E10" s="7">
        <f>Table9[[#This Row],[0]]+Table9[[#This Row],[Column3]]+Table9[[#This Row],[Column4]]</f>
        <v>0</v>
      </c>
      <c r="F10" s="7">
        <v>0</v>
      </c>
      <c r="G10" s="7">
        <v>0</v>
      </c>
      <c r="H10" s="7">
        <v>11183974</v>
      </c>
      <c r="I10" s="7">
        <f>Table9[[#This Row],[11183974.0000]]+Table9[[#This Row],[Column7]]+Table9[[#This Row],[Column6]]</f>
        <v>11183974</v>
      </c>
    </row>
    <row r="11" spans="1:9" ht="23.1" customHeight="1" x14ac:dyDescent="0.6">
      <c r="A11" s="6" t="s">
        <v>324</v>
      </c>
      <c r="B11" s="7">
        <v>0</v>
      </c>
      <c r="C11" s="7">
        <v>0</v>
      </c>
      <c r="D11" s="7">
        <v>0</v>
      </c>
      <c r="E11" s="7">
        <f>Table9[[#This Row],[0]]+Table9[[#This Row],[Column3]]+Table9[[#This Row],[Column4]]</f>
        <v>0</v>
      </c>
      <c r="F11" s="7">
        <v>0</v>
      </c>
      <c r="G11" s="7">
        <v>0</v>
      </c>
      <c r="H11" s="7">
        <v>112039050</v>
      </c>
      <c r="I11" s="7">
        <f>Table9[[#This Row],[11183974.0000]]+Table9[[#This Row],[Column7]]+Table9[[#This Row],[Column6]]</f>
        <v>112039050</v>
      </c>
    </row>
    <row r="12" spans="1:9" ht="23.1" customHeight="1" x14ac:dyDescent="0.6">
      <c r="A12" s="6" t="s">
        <v>303</v>
      </c>
      <c r="B12" s="7">
        <v>442673191</v>
      </c>
      <c r="C12" s="7">
        <v>0</v>
      </c>
      <c r="D12" s="7">
        <v>0</v>
      </c>
      <c r="E12" s="7">
        <f>Table9[[#This Row],[0]]+Table9[[#This Row],[Column3]]+Table9[[#This Row],[Column4]]</f>
        <v>442673191</v>
      </c>
      <c r="F12" s="7">
        <v>2693455188</v>
      </c>
      <c r="G12" s="7">
        <v>0</v>
      </c>
      <c r="H12" s="7">
        <v>0</v>
      </c>
      <c r="I12" s="7">
        <f>Table9[[#This Row],[11183974.0000]]+Table9[[#This Row],[Column7]]+Table9[[#This Row],[Column6]]</f>
        <v>2693455188</v>
      </c>
    </row>
    <row r="13" spans="1:9" ht="23.1" customHeight="1" x14ac:dyDescent="0.6">
      <c r="A13" s="6" t="s">
        <v>297</v>
      </c>
      <c r="B13" s="7">
        <v>13250</v>
      </c>
      <c r="C13" s="7">
        <v>0</v>
      </c>
      <c r="D13" s="7">
        <v>0</v>
      </c>
      <c r="E13" s="7">
        <f>Table9[[#This Row],[0]]+Table9[[#This Row],[Column3]]+Table9[[#This Row],[Column4]]</f>
        <v>13250</v>
      </c>
      <c r="F13" s="7">
        <v>26132</v>
      </c>
      <c r="G13" s="7">
        <v>0</v>
      </c>
      <c r="H13" s="7">
        <v>0</v>
      </c>
      <c r="I13" s="7">
        <f>Table9[[#This Row],[11183974.0000]]+Table9[[#This Row],[Column7]]+Table9[[#This Row],[Column6]]</f>
        <v>26132</v>
      </c>
    </row>
    <row r="14" spans="1:9" ht="23.1" customHeight="1" x14ac:dyDescent="0.6">
      <c r="A14" s="6" t="s">
        <v>325</v>
      </c>
      <c r="B14" s="7">
        <v>0</v>
      </c>
      <c r="C14" s="7">
        <v>0</v>
      </c>
      <c r="D14" s="7">
        <v>0</v>
      </c>
      <c r="E14" s="7">
        <f>Table9[[#This Row],[0]]+Table9[[#This Row],[Column3]]+Table9[[#This Row],[Column4]]</f>
        <v>0</v>
      </c>
      <c r="F14" s="7">
        <v>0</v>
      </c>
      <c r="G14" s="7">
        <v>0</v>
      </c>
      <c r="H14" s="7">
        <v>3180178280</v>
      </c>
      <c r="I14" s="7">
        <f>Table9[[#This Row],[11183974.0000]]+Table9[[#This Row],[Column7]]+Table9[[#This Row],[Column6]]</f>
        <v>3180178280</v>
      </c>
    </row>
    <row r="15" spans="1:9" ht="23.1" customHeight="1" x14ac:dyDescent="0.6">
      <c r="A15" s="6" t="s">
        <v>294</v>
      </c>
      <c r="B15" s="7">
        <v>3004185215</v>
      </c>
      <c r="C15" s="7">
        <v>-823620186</v>
      </c>
      <c r="D15" s="7">
        <v>-60129807</v>
      </c>
      <c r="E15" s="7">
        <f>Table9[[#This Row],[0]]+Table9[[#This Row],[Column3]]+Table9[[#This Row],[Column4]]</f>
        <v>2120435222</v>
      </c>
      <c r="F15" s="7">
        <v>3004185215</v>
      </c>
      <c r="G15" s="7">
        <v>-823620186</v>
      </c>
      <c r="H15" s="7">
        <v>-60129807</v>
      </c>
      <c r="I15" s="7">
        <f>Table9[[#This Row],[11183974.0000]]+Table9[[#This Row],[Column7]]+Table9[[#This Row],[Column6]]</f>
        <v>2120435222</v>
      </c>
    </row>
    <row r="16" spans="1:9" ht="23.1" customHeight="1" x14ac:dyDescent="0.6">
      <c r="A16" s="6" t="s">
        <v>281</v>
      </c>
      <c r="B16" s="7">
        <v>1796583292</v>
      </c>
      <c r="C16" s="7">
        <v>-758760000</v>
      </c>
      <c r="D16" s="7">
        <v>0</v>
      </c>
      <c r="E16" s="7">
        <f>Table9[[#This Row],[0]]+Table9[[#This Row],[Column3]]+Table9[[#This Row],[Column4]]</f>
        <v>1037823292</v>
      </c>
      <c r="F16" s="7">
        <v>1796583292</v>
      </c>
      <c r="G16" s="7">
        <v>-758760000</v>
      </c>
      <c r="H16" s="7">
        <v>0</v>
      </c>
      <c r="I16" s="7">
        <f>Table9[[#This Row],[11183974.0000]]+Table9[[#This Row],[Column7]]+Table9[[#This Row],[Column6]]</f>
        <v>1037823292</v>
      </c>
    </row>
    <row r="17" spans="1:9" ht="23.1" customHeight="1" x14ac:dyDescent="0.6">
      <c r="A17" s="6" t="s">
        <v>326</v>
      </c>
      <c r="B17" s="7">
        <v>0</v>
      </c>
      <c r="C17" s="7">
        <v>0</v>
      </c>
      <c r="D17" s="7">
        <v>0</v>
      </c>
      <c r="E17" s="7">
        <f>Table9[[#This Row],[0]]+Table9[[#This Row],[Column3]]+Table9[[#This Row],[Column4]]</f>
        <v>0</v>
      </c>
      <c r="F17" s="7">
        <v>0</v>
      </c>
      <c r="G17" s="7">
        <v>0</v>
      </c>
      <c r="H17" s="7">
        <v>28025401</v>
      </c>
      <c r="I17" s="7">
        <f>Table9[[#This Row],[11183974.0000]]+Table9[[#This Row],[Column7]]+Table9[[#This Row],[Column6]]</f>
        <v>28025401</v>
      </c>
    </row>
    <row r="18" spans="1:9" ht="23.1" customHeight="1" x14ac:dyDescent="0.6">
      <c r="A18" s="6" t="s">
        <v>288</v>
      </c>
      <c r="B18" s="7">
        <v>397479454</v>
      </c>
      <c r="C18" s="7">
        <v>0</v>
      </c>
      <c r="D18" s="7">
        <v>0</v>
      </c>
      <c r="E18" s="7">
        <f>Table9[[#This Row],[0]]+Table9[[#This Row],[Column3]]+Table9[[#This Row],[Column4]]</f>
        <v>397479454</v>
      </c>
      <c r="F18" s="7">
        <v>785085619</v>
      </c>
      <c r="G18" s="7">
        <v>0</v>
      </c>
      <c r="H18" s="7">
        <v>0</v>
      </c>
      <c r="I18" s="7">
        <f>Table9[[#This Row],[11183974.0000]]+Table9[[#This Row],[Column7]]+Table9[[#This Row],[Column6]]</f>
        <v>785085619</v>
      </c>
    </row>
    <row r="19" spans="1:9" ht="23.1" customHeight="1" x14ac:dyDescent="0.6">
      <c r="A19" s="6" t="s">
        <v>327</v>
      </c>
      <c r="B19" s="7">
        <v>0</v>
      </c>
      <c r="C19" s="7">
        <v>0</v>
      </c>
      <c r="D19" s="7">
        <v>0</v>
      </c>
      <c r="E19" s="7">
        <f>Table9[[#This Row],[0]]+Table9[[#This Row],[Column3]]+Table9[[#This Row],[Column4]]</f>
        <v>0</v>
      </c>
      <c r="F19" s="7">
        <v>0</v>
      </c>
      <c r="G19" s="7">
        <v>0</v>
      </c>
      <c r="H19" s="7">
        <v>56448234</v>
      </c>
      <c r="I19" s="7">
        <f>Table9[[#This Row],[11183974.0000]]+Table9[[#This Row],[Column7]]+Table9[[#This Row],[Column6]]</f>
        <v>56448234</v>
      </c>
    </row>
    <row r="20" spans="1:9" ht="23.1" customHeight="1" x14ac:dyDescent="0.6">
      <c r="A20" s="6" t="s">
        <v>306</v>
      </c>
      <c r="B20" s="7">
        <v>6949547869</v>
      </c>
      <c r="C20" s="7">
        <v>12484917037</v>
      </c>
      <c r="D20" s="7">
        <v>-187771956</v>
      </c>
      <c r="E20" s="7">
        <f>Table9[[#This Row],[0]]+Table9[[#This Row],[Column3]]+Table9[[#This Row],[Column4]]</f>
        <v>19246692950</v>
      </c>
      <c r="F20" s="7">
        <v>7332550368</v>
      </c>
      <c r="G20" s="7">
        <v>0</v>
      </c>
      <c r="H20" s="7">
        <v>-187771956</v>
      </c>
      <c r="I20" s="7">
        <f>Table9[[#This Row],[11183974.0000]]+Table9[[#This Row],[Column7]]+Table9[[#This Row],[Column6]]</f>
        <v>7144778412</v>
      </c>
    </row>
    <row r="21" spans="1:9" ht="23.1" customHeight="1" x14ac:dyDescent="0.6">
      <c r="A21" s="6" t="s">
        <v>285</v>
      </c>
      <c r="B21" s="7">
        <v>535167523</v>
      </c>
      <c r="C21" s="7">
        <v>-2794052841</v>
      </c>
      <c r="D21" s="7">
        <v>0</v>
      </c>
      <c r="E21" s="7">
        <f>Table9[[#This Row],[0]]+Table9[[#This Row],[Column3]]+Table9[[#This Row],[Column4]]</f>
        <v>-2258885318</v>
      </c>
      <c r="F21" s="7">
        <v>1057189091</v>
      </c>
      <c r="G21" s="7">
        <v>-2794052841</v>
      </c>
      <c r="H21" s="7">
        <v>0</v>
      </c>
      <c r="I21" s="7">
        <f>Table9[[#This Row],[11183974.0000]]+Table9[[#This Row],[Column7]]+Table9[[#This Row],[Column6]]</f>
        <v>-1736863750</v>
      </c>
    </row>
    <row r="22" spans="1:9" ht="23.1" customHeight="1" x14ac:dyDescent="0.6">
      <c r="A22" s="6" t="s">
        <v>328</v>
      </c>
      <c r="B22" s="7">
        <v>0</v>
      </c>
      <c r="C22" s="7">
        <v>0</v>
      </c>
      <c r="D22" s="7">
        <v>0</v>
      </c>
      <c r="E22" s="7">
        <f>Table9[[#This Row],[0]]+Table9[[#This Row],[Column3]]+Table9[[#This Row],[Column4]]</f>
        <v>0</v>
      </c>
      <c r="F22" s="7">
        <v>0</v>
      </c>
      <c r="G22" s="7">
        <v>0</v>
      </c>
      <c r="H22" s="7">
        <v>3665709</v>
      </c>
      <c r="I22" s="7">
        <f>Table9[[#This Row],[11183974.0000]]+Table9[[#This Row],[Column7]]+Table9[[#This Row],[Column6]]</f>
        <v>3665709</v>
      </c>
    </row>
    <row r="23" spans="1:9" ht="23.1" customHeight="1" x14ac:dyDescent="0.6">
      <c r="A23" s="6" t="s">
        <v>329</v>
      </c>
      <c r="B23" s="7">
        <v>0</v>
      </c>
      <c r="C23" s="7">
        <v>0</v>
      </c>
      <c r="D23" s="7">
        <v>0</v>
      </c>
      <c r="E23" s="7">
        <f>Table9[[#This Row],[0]]+Table9[[#This Row],[Column3]]+Table9[[#This Row],[Column4]]</f>
        <v>0</v>
      </c>
      <c r="F23" s="7">
        <v>0</v>
      </c>
      <c r="G23" s="7">
        <v>0</v>
      </c>
      <c r="H23" s="7">
        <v>70113004</v>
      </c>
      <c r="I23" s="7">
        <f>Table9[[#This Row],[11183974.0000]]+Table9[[#This Row],[Column7]]+Table9[[#This Row],[Column6]]</f>
        <v>70113004</v>
      </c>
    </row>
    <row r="24" spans="1:9" ht="23.1" customHeight="1" x14ac:dyDescent="0.6">
      <c r="A24" s="6" t="s">
        <v>300</v>
      </c>
      <c r="B24" s="7">
        <v>59624695013</v>
      </c>
      <c r="C24" s="7">
        <v>-388903753</v>
      </c>
      <c r="D24" s="7">
        <v>102953493</v>
      </c>
      <c r="E24" s="7">
        <f>Table9[[#This Row],[0]]+Table9[[#This Row],[Column3]]+Table9[[#This Row],[Column4]]</f>
        <v>59338744753</v>
      </c>
      <c r="F24" s="7">
        <v>126125123440</v>
      </c>
      <c r="G24" s="7">
        <v>-803575324</v>
      </c>
      <c r="H24" s="7">
        <v>232375069</v>
      </c>
      <c r="I24" s="7">
        <f>Table9[[#This Row],[11183974.0000]]+Table9[[#This Row],[Column7]]+Table9[[#This Row],[Column6]]</f>
        <v>125553923185</v>
      </c>
    </row>
    <row r="25" spans="1:9" ht="23.1" customHeight="1" x14ac:dyDescent="0.6">
      <c r="A25" s="6" t="s">
        <v>309</v>
      </c>
      <c r="B25" s="7">
        <v>9480175953</v>
      </c>
      <c r="C25" s="7">
        <v>-432443333</v>
      </c>
      <c r="D25" s="7">
        <v>-800056667</v>
      </c>
      <c r="E25" s="7">
        <f>Table9[[#This Row],[0]]+Table9[[#This Row],[Column3]]+Table9[[#This Row],[Column4]]</f>
        <v>8247675953</v>
      </c>
      <c r="F25" s="7">
        <v>15565173633</v>
      </c>
      <c r="G25" s="7">
        <v>-738843333</v>
      </c>
      <c r="H25" s="7">
        <v>-1193656667</v>
      </c>
      <c r="I25" s="7">
        <f>Table9[[#This Row],[11183974.0000]]+Table9[[#This Row],[Column7]]+Table9[[#This Row],[Column6]]</f>
        <v>13632673633</v>
      </c>
    </row>
    <row r="26" spans="1:9" ht="23.1" customHeight="1" x14ac:dyDescent="0.6">
      <c r="A26" s="6" t="s">
        <v>330</v>
      </c>
      <c r="B26" s="7">
        <v>0</v>
      </c>
      <c r="C26" s="7">
        <v>0</v>
      </c>
      <c r="D26" s="7">
        <v>0</v>
      </c>
      <c r="E26" s="7">
        <f>Table9[[#This Row],[0]]+Table9[[#This Row],[Column3]]+Table9[[#This Row],[Column4]]</f>
        <v>0</v>
      </c>
      <c r="F26" s="7">
        <v>0</v>
      </c>
      <c r="G26" s="7">
        <v>0</v>
      </c>
      <c r="H26" s="7">
        <v>1847513</v>
      </c>
      <c r="I26" s="7">
        <f>Table9[[#This Row],[11183974.0000]]+Table9[[#This Row],[Column7]]+Table9[[#This Row],[Column6]]</f>
        <v>1847513</v>
      </c>
    </row>
    <row r="27" spans="1:9" ht="23.1" customHeight="1" x14ac:dyDescent="0.6">
      <c r="A27" s="6" t="s">
        <v>331</v>
      </c>
      <c r="B27" s="7">
        <v>0</v>
      </c>
      <c r="C27" s="7">
        <v>0</v>
      </c>
      <c r="D27" s="7">
        <v>0</v>
      </c>
      <c r="E27" s="7">
        <f>Table9[[#This Row],[0]]+Table9[[#This Row],[Column3]]+Table9[[#This Row],[Column4]]</f>
        <v>0</v>
      </c>
      <c r="F27" s="7">
        <v>0</v>
      </c>
      <c r="G27" s="7">
        <v>0</v>
      </c>
      <c r="H27" s="7">
        <v>54167</v>
      </c>
      <c r="I27" s="7">
        <f>Table9[[#This Row],[11183974.0000]]+Table9[[#This Row],[Column7]]+Table9[[#This Row],[Column6]]</f>
        <v>54167</v>
      </c>
    </row>
    <row r="28" spans="1:9" ht="23.1" customHeight="1" x14ac:dyDescent="0.6">
      <c r="A28" s="6" t="s">
        <v>291</v>
      </c>
      <c r="B28" s="7">
        <v>16065699325</v>
      </c>
      <c r="C28" s="7">
        <v>-86400433</v>
      </c>
      <c r="D28" s="7">
        <f>'درآمد ناشی ازفروش'!F101</f>
        <v>-898999997</v>
      </c>
      <c r="E28" s="7">
        <f>Table9[[#This Row],[0]]+Table9[[#This Row],[Column3]]+Table9[[#This Row],[Column4]]</f>
        <v>15080298895</v>
      </c>
      <c r="F28" s="7">
        <v>18701389628</v>
      </c>
      <c r="G28" s="7">
        <v>-1069925371</v>
      </c>
      <c r="H28" s="7">
        <f>'درآمد ناشی ازفروش'!K101</f>
        <v>-898999997</v>
      </c>
      <c r="I28" s="7">
        <f>Table9[[#This Row],[11183974.0000]]+Table9[[#This Row],[Column7]]+Table9[[#This Row],[Column6]]</f>
        <v>16732464260</v>
      </c>
    </row>
    <row r="29" spans="1:9" ht="23.1" customHeight="1" thickBot="1" x14ac:dyDescent="0.65">
      <c r="A29" s="6" t="s">
        <v>178</v>
      </c>
      <c r="B29" s="40">
        <f t="shared" ref="B29:I29" si="0">SUM(B10:B28)</f>
        <v>98296220085</v>
      </c>
      <c r="C29" s="40">
        <f t="shared" si="0"/>
        <v>7200736491</v>
      </c>
      <c r="D29" s="40">
        <f t="shared" si="0"/>
        <v>-1844004934</v>
      </c>
      <c r="E29" s="40">
        <f t="shared" si="0"/>
        <v>103652951642</v>
      </c>
      <c r="F29" s="40">
        <f t="shared" si="0"/>
        <v>177060761606</v>
      </c>
      <c r="G29" s="40">
        <f t="shared" si="0"/>
        <v>-6988777055</v>
      </c>
      <c r="H29" s="40">
        <f t="shared" si="0"/>
        <v>1355371974</v>
      </c>
      <c r="I29" s="40">
        <f t="shared" si="0"/>
        <v>171427356525</v>
      </c>
    </row>
    <row r="30" spans="1:9" ht="23.1" customHeight="1" thickTop="1" x14ac:dyDescent="0.6">
      <c r="A30" s="14" t="s">
        <v>179</v>
      </c>
      <c r="B30" s="16"/>
      <c r="C30" s="16"/>
      <c r="D30" s="16"/>
      <c r="E30" s="16"/>
      <c r="F30" s="16"/>
      <c r="G30" s="16"/>
      <c r="H30" s="16"/>
      <c r="I30" s="16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scale="88" orientation="landscape" r:id="rId1"/>
  <headerFooter differentOddEven="1" differentFirst="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rightToLeft="1" view="pageBreakPreview" zoomScale="106" zoomScaleNormal="100" zoomScaleSheetLayoutView="106" workbookViewId="0">
      <selection activeCell="A3" sqref="A3:E3"/>
    </sheetView>
  </sheetViews>
  <sheetFormatPr defaultColWidth="0" defaultRowHeight="22.5" x14ac:dyDescent="0.6"/>
  <cols>
    <col min="1" max="1" width="10.7109375" style="8" bestFit="1" customWidth="1"/>
    <col min="2" max="2" width="29.85546875" style="8" bestFit="1" customWidth="1"/>
    <col min="3" max="3" width="26.5703125" style="8" bestFit="1" customWidth="1"/>
    <col min="4" max="4" width="29.85546875" style="8" bestFit="1" customWidth="1"/>
    <col min="5" max="5" width="26.5703125" style="8" bestFit="1" customWidth="1"/>
    <col min="6" max="6" width="0.7109375" style="1" customWidth="1"/>
    <col min="7" max="7" width="0" style="1" hidden="1" customWidth="1"/>
    <col min="8" max="16384" width="0" style="1" hidden="1"/>
  </cols>
  <sheetData>
    <row r="1" spans="1:6" x14ac:dyDescent="0.6">
      <c r="A1" s="63" t="s">
        <v>0</v>
      </c>
      <c r="B1" s="63"/>
      <c r="C1" s="63"/>
      <c r="D1" s="63"/>
      <c r="E1" s="63"/>
    </row>
    <row r="2" spans="1:6" x14ac:dyDescent="0.6">
      <c r="A2" s="63" t="s">
        <v>316</v>
      </c>
      <c r="B2" s="63"/>
      <c r="C2" s="63"/>
      <c r="D2" s="63"/>
      <c r="E2" s="63"/>
    </row>
    <row r="3" spans="1:6" x14ac:dyDescent="0.6">
      <c r="A3" s="63" t="s">
        <v>317</v>
      </c>
      <c r="B3" s="63"/>
      <c r="C3" s="63"/>
      <c r="D3" s="63"/>
      <c r="E3" s="63"/>
    </row>
    <row r="4" spans="1:6" x14ac:dyDescent="0.6">
      <c r="A4" s="88" t="s">
        <v>332</v>
      </c>
      <c r="B4" s="88"/>
      <c r="C4" s="88"/>
      <c r="D4" s="88"/>
      <c r="E4" s="88"/>
    </row>
    <row r="5" spans="1:6" x14ac:dyDescent="0.6">
      <c r="A5" s="9"/>
      <c r="B5" s="9"/>
      <c r="C5" s="9"/>
      <c r="D5" s="9"/>
      <c r="E5" s="9"/>
    </row>
    <row r="6" spans="1:6" ht="37.5" customHeight="1" x14ac:dyDescent="0.6">
      <c r="A6" s="56" t="s">
        <v>333</v>
      </c>
      <c r="B6" s="91" t="s">
        <v>408</v>
      </c>
      <c r="C6" s="91"/>
      <c r="D6" s="92" t="s">
        <v>319</v>
      </c>
      <c r="E6" s="92"/>
      <c r="F6" s="10"/>
    </row>
    <row r="7" spans="1:6" ht="39.75" customHeight="1" x14ac:dyDescent="0.6">
      <c r="A7" s="11" t="s">
        <v>334</v>
      </c>
      <c r="B7" s="12" t="s">
        <v>335</v>
      </c>
      <c r="C7" s="12" t="s">
        <v>336</v>
      </c>
      <c r="D7" s="12" t="s">
        <v>335</v>
      </c>
      <c r="E7" s="12" t="s">
        <v>336</v>
      </c>
      <c r="F7" s="8"/>
    </row>
    <row r="8" spans="1:6" ht="22.5" hidden="1" customHeight="1" x14ac:dyDescent="0.6">
      <c r="A8" s="5"/>
      <c r="B8" s="13"/>
      <c r="C8" s="5"/>
      <c r="D8" s="13"/>
      <c r="E8" s="5"/>
      <c r="F8" s="8"/>
    </row>
    <row r="9" spans="1:6" ht="23.1" customHeight="1" x14ac:dyDescent="0.6">
      <c r="A9" s="6" t="s">
        <v>38</v>
      </c>
      <c r="B9" s="7">
        <v>13357645</v>
      </c>
      <c r="C9" s="7">
        <v>10</v>
      </c>
      <c r="D9" s="7">
        <v>25853506</v>
      </c>
      <c r="E9" s="7">
        <v>10</v>
      </c>
    </row>
    <row r="10" spans="1:6" ht="23.1" customHeight="1" x14ac:dyDescent="0.6">
      <c r="A10" s="6" t="s">
        <v>60</v>
      </c>
      <c r="B10" s="7">
        <v>24195274</v>
      </c>
      <c r="C10" s="7">
        <v>10</v>
      </c>
      <c r="D10" s="7">
        <v>24633095</v>
      </c>
      <c r="E10" s="7">
        <v>10</v>
      </c>
    </row>
    <row r="11" spans="1:6" ht="23.1" customHeight="1" x14ac:dyDescent="0.6">
      <c r="A11" s="6" t="s">
        <v>78</v>
      </c>
      <c r="B11" s="7">
        <v>42315062</v>
      </c>
      <c r="C11" s="7">
        <v>10</v>
      </c>
      <c r="D11" s="7">
        <v>81900120</v>
      </c>
      <c r="E11" s="7">
        <v>10</v>
      </c>
    </row>
    <row r="12" spans="1:6" ht="23.1" customHeight="1" x14ac:dyDescent="0.6">
      <c r="A12" s="6" t="s">
        <v>76</v>
      </c>
      <c r="B12" s="7">
        <v>23549635</v>
      </c>
      <c r="C12" s="7">
        <v>10</v>
      </c>
      <c r="D12" s="7">
        <v>25580626</v>
      </c>
      <c r="E12" s="7">
        <v>10</v>
      </c>
    </row>
    <row r="13" spans="1:6" ht="23.1" customHeight="1" x14ac:dyDescent="0.6">
      <c r="A13" s="6" t="s">
        <v>172</v>
      </c>
      <c r="B13" s="7">
        <v>5715950</v>
      </c>
      <c r="C13" s="7">
        <v>10</v>
      </c>
      <c r="D13" s="7">
        <v>6115858</v>
      </c>
      <c r="E13" s="7">
        <v>10</v>
      </c>
    </row>
    <row r="14" spans="1:6" ht="23.1" customHeight="1" x14ac:dyDescent="0.6">
      <c r="A14" s="6" t="s">
        <v>36</v>
      </c>
      <c r="B14" s="7">
        <v>104109859</v>
      </c>
      <c r="C14" s="7">
        <v>10</v>
      </c>
      <c r="D14" s="7">
        <v>122744292</v>
      </c>
      <c r="E14" s="7">
        <v>10</v>
      </c>
    </row>
    <row r="15" spans="1:6" ht="23.1" customHeight="1" x14ac:dyDescent="0.6">
      <c r="A15" s="6" t="s">
        <v>138</v>
      </c>
      <c r="B15" s="7">
        <v>108776298</v>
      </c>
      <c r="C15" s="7">
        <v>10</v>
      </c>
      <c r="D15" s="7">
        <v>141865824</v>
      </c>
      <c r="E15" s="7">
        <v>10</v>
      </c>
    </row>
    <row r="16" spans="1:6" ht="23.1" customHeight="1" x14ac:dyDescent="0.6">
      <c r="A16" s="6" t="s">
        <v>160</v>
      </c>
      <c r="B16" s="7">
        <v>31496488</v>
      </c>
      <c r="C16" s="7">
        <v>10</v>
      </c>
      <c r="D16" s="7">
        <v>31896396</v>
      </c>
      <c r="E16" s="7">
        <v>10</v>
      </c>
    </row>
    <row r="17" spans="1:5" ht="23.1" customHeight="1" x14ac:dyDescent="0.6">
      <c r="A17" s="6" t="s">
        <v>98</v>
      </c>
      <c r="B17" s="7">
        <v>123384721</v>
      </c>
      <c r="C17" s="7">
        <v>10</v>
      </c>
      <c r="D17" s="7">
        <v>139232131</v>
      </c>
      <c r="E17" s="7">
        <v>10</v>
      </c>
    </row>
    <row r="18" spans="1:5" ht="23.1" customHeight="1" x14ac:dyDescent="0.6">
      <c r="A18" s="6" t="s">
        <v>120</v>
      </c>
      <c r="B18" s="7">
        <v>44091700</v>
      </c>
      <c r="C18" s="7">
        <v>10</v>
      </c>
      <c r="D18" s="7">
        <v>69861249</v>
      </c>
      <c r="E18" s="7">
        <v>10</v>
      </c>
    </row>
    <row r="19" spans="1:5" ht="23.1" customHeight="1" x14ac:dyDescent="0.6">
      <c r="A19" s="6" t="s">
        <v>62</v>
      </c>
      <c r="B19" s="7">
        <v>68263319</v>
      </c>
      <c r="C19" s="7">
        <v>10</v>
      </c>
      <c r="D19" s="7">
        <v>75320964</v>
      </c>
      <c r="E19" s="7">
        <v>10</v>
      </c>
    </row>
    <row r="20" spans="1:5" ht="23.1" customHeight="1" x14ac:dyDescent="0.6">
      <c r="A20" s="6" t="s">
        <v>80</v>
      </c>
      <c r="B20" s="7">
        <v>46758563</v>
      </c>
      <c r="C20" s="7">
        <v>10</v>
      </c>
      <c r="D20" s="7">
        <v>47158471</v>
      </c>
      <c r="E20" s="7">
        <v>10</v>
      </c>
    </row>
    <row r="21" spans="1:5" ht="23.1" customHeight="1" x14ac:dyDescent="0.6">
      <c r="A21" s="6" t="s">
        <v>176</v>
      </c>
      <c r="B21" s="7">
        <v>23082256</v>
      </c>
      <c r="C21" s="7">
        <v>10</v>
      </c>
      <c r="D21" s="7">
        <v>36655134</v>
      </c>
      <c r="E21" s="7">
        <v>10</v>
      </c>
    </row>
    <row r="22" spans="1:5" ht="23.1" customHeight="1" x14ac:dyDescent="0.6">
      <c r="A22" s="6" t="s">
        <v>174</v>
      </c>
      <c r="B22" s="7">
        <v>105601320</v>
      </c>
      <c r="C22" s="7">
        <v>10</v>
      </c>
      <c r="D22" s="7">
        <v>111180888</v>
      </c>
      <c r="E22" s="7">
        <v>10</v>
      </c>
    </row>
    <row r="23" spans="1:5" ht="23.1" customHeight="1" x14ac:dyDescent="0.6">
      <c r="A23" s="6" t="s">
        <v>116</v>
      </c>
      <c r="B23" s="7">
        <v>1439</v>
      </c>
      <c r="C23" s="7">
        <v>10</v>
      </c>
      <c r="D23" s="7">
        <v>2775</v>
      </c>
      <c r="E23" s="7">
        <v>10</v>
      </c>
    </row>
    <row r="24" spans="1:5" ht="23.1" customHeight="1" x14ac:dyDescent="0.6">
      <c r="A24" s="6" t="s">
        <v>74</v>
      </c>
      <c r="B24" s="7">
        <v>42637800</v>
      </c>
      <c r="C24" s="7">
        <v>10</v>
      </c>
      <c r="D24" s="7">
        <v>47719124</v>
      </c>
      <c r="E24" s="7">
        <v>10</v>
      </c>
    </row>
    <row r="25" spans="1:5" ht="23.1" customHeight="1" x14ac:dyDescent="0.6">
      <c r="A25" s="6" t="s">
        <v>96</v>
      </c>
      <c r="B25" s="7">
        <v>49319247</v>
      </c>
      <c r="C25" s="7">
        <v>10</v>
      </c>
      <c r="D25" s="7">
        <v>51068556</v>
      </c>
      <c r="E25" s="7">
        <v>10</v>
      </c>
    </row>
    <row r="26" spans="1:5" ht="23.1" customHeight="1" x14ac:dyDescent="0.6">
      <c r="A26" s="6" t="s">
        <v>34</v>
      </c>
      <c r="B26" s="7">
        <v>4779014</v>
      </c>
      <c r="C26" s="7">
        <v>10</v>
      </c>
      <c r="D26" s="7">
        <v>6797101</v>
      </c>
      <c r="E26" s="7">
        <v>10</v>
      </c>
    </row>
    <row r="27" spans="1:5" ht="23.1" customHeight="1" x14ac:dyDescent="0.6">
      <c r="A27" s="6" t="s">
        <v>58</v>
      </c>
      <c r="B27" s="7">
        <v>424657</v>
      </c>
      <c r="C27" s="7">
        <v>10</v>
      </c>
      <c r="D27" s="7">
        <v>1192572</v>
      </c>
      <c r="E27" s="7">
        <v>10</v>
      </c>
    </row>
    <row r="28" spans="1:5" ht="23.1" customHeight="1" x14ac:dyDescent="0.6">
      <c r="A28" s="6" t="s">
        <v>158</v>
      </c>
      <c r="B28" s="7">
        <v>8093677</v>
      </c>
      <c r="C28" s="7">
        <v>10</v>
      </c>
      <c r="D28" s="7">
        <v>33556350</v>
      </c>
      <c r="E28" s="7">
        <v>10</v>
      </c>
    </row>
    <row r="29" spans="1:5" ht="23.1" customHeight="1" x14ac:dyDescent="0.6">
      <c r="A29" s="6" t="s">
        <v>170</v>
      </c>
      <c r="B29" s="7">
        <v>424651</v>
      </c>
      <c r="C29" s="7">
        <v>10</v>
      </c>
      <c r="D29" s="7">
        <v>821911</v>
      </c>
      <c r="E29" s="7">
        <v>10</v>
      </c>
    </row>
    <row r="30" spans="1:5" ht="23.1" customHeight="1" x14ac:dyDescent="0.6">
      <c r="A30" s="6" t="s">
        <v>114</v>
      </c>
      <c r="B30" s="7">
        <v>30512581</v>
      </c>
      <c r="C30" s="7">
        <v>10</v>
      </c>
      <c r="D30" s="7">
        <v>59056608</v>
      </c>
      <c r="E30" s="7">
        <v>10</v>
      </c>
    </row>
    <row r="31" spans="1:5" ht="23.1" customHeight="1" x14ac:dyDescent="0.6">
      <c r="A31" s="6" t="s">
        <v>32</v>
      </c>
      <c r="B31" s="7">
        <v>524148</v>
      </c>
      <c r="C31" s="7">
        <v>10</v>
      </c>
      <c r="D31" s="7">
        <v>921408</v>
      </c>
      <c r="E31" s="7">
        <v>10</v>
      </c>
    </row>
    <row r="32" spans="1:5" ht="23.1" customHeight="1" x14ac:dyDescent="0.6">
      <c r="A32" s="6" t="s">
        <v>136</v>
      </c>
      <c r="B32" s="7">
        <v>2844108</v>
      </c>
      <c r="C32" s="7">
        <v>10</v>
      </c>
      <c r="D32" s="7">
        <v>5504726</v>
      </c>
      <c r="E32" s="7">
        <v>10</v>
      </c>
    </row>
    <row r="33" spans="1:5" ht="23.1" customHeight="1" x14ac:dyDescent="0.6">
      <c r="A33" s="6" t="s">
        <v>156</v>
      </c>
      <c r="B33" s="7">
        <v>1277940</v>
      </c>
      <c r="C33" s="7">
        <v>10</v>
      </c>
      <c r="D33" s="7">
        <v>23519672</v>
      </c>
      <c r="E33" s="7">
        <v>10</v>
      </c>
    </row>
    <row r="34" spans="1:5" ht="23.1" customHeight="1" x14ac:dyDescent="0.6">
      <c r="A34" s="6" t="s">
        <v>94</v>
      </c>
      <c r="B34" s="7">
        <v>22590430</v>
      </c>
      <c r="C34" s="7">
        <v>10</v>
      </c>
      <c r="D34" s="7">
        <v>27166339</v>
      </c>
      <c r="E34" s="7">
        <v>10</v>
      </c>
    </row>
    <row r="35" spans="1:5" ht="23.1" customHeight="1" x14ac:dyDescent="0.6">
      <c r="A35" s="6" t="s">
        <v>112</v>
      </c>
      <c r="B35" s="7">
        <v>424657</v>
      </c>
      <c r="C35" s="7">
        <v>10</v>
      </c>
      <c r="D35" s="7">
        <v>18421054</v>
      </c>
      <c r="E35" s="7">
        <v>10</v>
      </c>
    </row>
    <row r="36" spans="1:5" ht="23.1" customHeight="1" x14ac:dyDescent="0.6">
      <c r="A36" s="6" t="s">
        <v>56</v>
      </c>
      <c r="B36" s="7">
        <v>21517317</v>
      </c>
      <c r="C36" s="7">
        <v>10</v>
      </c>
      <c r="D36" s="7">
        <v>31659714</v>
      </c>
      <c r="E36" s="7">
        <v>10</v>
      </c>
    </row>
    <row r="37" spans="1:5" ht="23.1" customHeight="1" x14ac:dyDescent="0.6">
      <c r="A37" s="6" t="s">
        <v>72</v>
      </c>
      <c r="B37" s="7">
        <v>18827464</v>
      </c>
      <c r="C37" s="7">
        <v>10</v>
      </c>
      <c r="D37" s="7">
        <v>22727966</v>
      </c>
      <c r="E37" s="7">
        <v>10</v>
      </c>
    </row>
    <row r="38" spans="1:5" ht="23.1" customHeight="1" x14ac:dyDescent="0.6">
      <c r="A38" s="6" t="s">
        <v>168</v>
      </c>
      <c r="B38" s="7">
        <v>691437</v>
      </c>
      <c r="C38" s="7">
        <v>10</v>
      </c>
      <c r="D38" s="7">
        <v>6499229</v>
      </c>
      <c r="E38" s="7">
        <v>10</v>
      </c>
    </row>
    <row r="39" spans="1:5" ht="23.1" customHeight="1" x14ac:dyDescent="0.6">
      <c r="A39" s="6" t="s">
        <v>30</v>
      </c>
      <c r="B39" s="7">
        <v>5574379</v>
      </c>
      <c r="C39" s="7">
        <v>10</v>
      </c>
      <c r="D39" s="7">
        <v>22259008</v>
      </c>
      <c r="E39" s="7">
        <v>10</v>
      </c>
    </row>
    <row r="40" spans="1:5" ht="23.1" customHeight="1" x14ac:dyDescent="0.6">
      <c r="A40" s="6" t="s">
        <v>134</v>
      </c>
      <c r="B40" s="7">
        <v>26856555</v>
      </c>
      <c r="C40" s="7">
        <v>10</v>
      </c>
      <c r="D40" s="7">
        <v>27255374</v>
      </c>
      <c r="E40" s="7">
        <v>10</v>
      </c>
    </row>
    <row r="41" spans="1:5" ht="23.1" customHeight="1" x14ac:dyDescent="0.6">
      <c r="A41" s="6" t="s">
        <v>70</v>
      </c>
      <c r="B41" s="7">
        <v>24449097</v>
      </c>
      <c r="C41" s="7">
        <v>10</v>
      </c>
      <c r="D41" s="7">
        <v>47320833</v>
      </c>
      <c r="E41" s="7">
        <v>10</v>
      </c>
    </row>
    <row r="42" spans="1:5" ht="23.1" customHeight="1" x14ac:dyDescent="0.6">
      <c r="A42" s="6" t="s">
        <v>92</v>
      </c>
      <c r="B42" s="7">
        <v>25992384</v>
      </c>
      <c r="C42" s="7">
        <v>10</v>
      </c>
      <c r="D42" s="7">
        <v>33302280</v>
      </c>
      <c r="E42" s="7">
        <v>10</v>
      </c>
    </row>
    <row r="43" spans="1:5" ht="23.1" customHeight="1" x14ac:dyDescent="0.6">
      <c r="A43" s="6" t="s">
        <v>28</v>
      </c>
      <c r="B43" s="7">
        <v>4552061</v>
      </c>
      <c r="C43" s="7">
        <v>10</v>
      </c>
      <c r="D43" s="7">
        <v>9809057</v>
      </c>
      <c r="E43" s="7">
        <v>10</v>
      </c>
    </row>
    <row r="44" spans="1:5" ht="23.1" customHeight="1" x14ac:dyDescent="0.6">
      <c r="A44" s="6" t="s">
        <v>54</v>
      </c>
      <c r="B44" s="7">
        <v>33804697</v>
      </c>
      <c r="C44" s="7">
        <v>10</v>
      </c>
      <c r="D44" s="7">
        <v>55531033</v>
      </c>
      <c r="E44" s="7">
        <v>10</v>
      </c>
    </row>
    <row r="45" spans="1:5" ht="23.1" customHeight="1" x14ac:dyDescent="0.6">
      <c r="A45" s="6" t="s">
        <v>154</v>
      </c>
      <c r="B45" s="7">
        <v>29780828</v>
      </c>
      <c r="C45" s="7">
        <v>10</v>
      </c>
      <c r="D45" s="7">
        <v>55258428</v>
      </c>
      <c r="E45" s="7">
        <v>10</v>
      </c>
    </row>
    <row r="46" spans="1:5" ht="23.1" customHeight="1" x14ac:dyDescent="0.6">
      <c r="A46" s="6" t="s">
        <v>166</v>
      </c>
      <c r="B46" s="7">
        <v>8218664</v>
      </c>
      <c r="C46" s="7">
        <v>10</v>
      </c>
      <c r="D46" s="7">
        <v>41717643</v>
      </c>
      <c r="E46" s="7">
        <v>10</v>
      </c>
    </row>
    <row r="47" spans="1:5" ht="23.1" customHeight="1" x14ac:dyDescent="0.6">
      <c r="A47" s="6" t="s">
        <v>110</v>
      </c>
      <c r="B47" s="7">
        <v>27749237</v>
      </c>
      <c r="C47" s="7">
        <v>10</v>
      </c>
      <c r="D47" s="7">
        <v>65448105</v>
      </c>
      <c r="E47" s="7">
        <v>10</v>
      </c>
    </row>
    <row r="48" spans="1:5" ht="23.1" customHeight="1" x14ac:dyDescent="0.6">
      <c r="A48" s="6" t="s">
        <v>132</v>
      </c>
      <c r="B48" s="7">
        <v>19269870</v>
      </c>
      <c r="C48" s="7">
        <v>10</v>
      </c>
      <c r="D48" s="7">
        <v>34669989</v>
      </c>
      <c r="E48" s="7">
        <v>10</v>
      </c>
    </row>
    <row r="49" spans="1:5" ht="23.1" customHeight="1" x14ac:dyDescent="0.6">
      <c r="A49" s="6" t="s">
        <v>68</v>
      </c>
      <c r="B49" s="7">
        <v>9849151</v>
      </c>
      <c r="C49" s="7">
        <v>10</v>
      </c>
      <c r="D49" s="7">
        <v>10381249</v>
      </c>
      <c r="E49" s="7">
        <v>10</v>
      </c>
    </row>
    <row r="50" spans="1:5" ht="23.1" customHeight="1" x14ac:dyDescent="0.6">
      <c r="A50" s="6" t="s">
        <v>152</v>
      </c>
      <c r="B50" s="7">
        <v>6434769</v>
      </c>
      <c r="C50" s="7">
        <v>10</v>
      </c>
      <c r="D50" s="7">
        <v>12675840</v>
      </c>
      <c r="E50" s="7">
        <v>10</v>
      </c>
    </row>
    <row r="51" spans="1:5" ht="23.1" customHeight="1" x14ac:dyDescent="0.6">
      <c r="A51" s="6" t="s">
        <v>90</v>
      </c>
      <c r="B51" s="7">
        <v>424657</v>
      </c>
      <c r="C51" s="7">
        <v>10</v>
      </c>
      <c r="D51" s="7">
        <v>821917</v>
      </c>
      <c r="E51" s="7">
        <v>10</v>
      </c>
    </row>
    <row r="52" spans="1:5" ht="23.1" customHeight="1" x14ac:dyDescent="0.6">
      <c r="A52" s="6" t="s">
        <v>108</v>
      </c>
      <c r="B52" s="7">
        <v>424657</v>
      </c>
      <c r="C52" s="7">
        <v>10</v>
      </c>
      <c r="D52" s="7">
        <v>37800628</v>
      </c>
      <c r="E52" s="7">
        <v>10</v>
      </c>
    </row>
    <row r="53" spans="1:5" ht="23.1" customHeight="1" x14ac:dyDescent="0.6">
      <c r="A53" s="6" t="s">
        <v>52</v>
      </c>
      <c r="B53" s="7">
        <v>5120671</v>
      </c>
      <c r="C53" s="7">
        <v>10</v>
      </c>
      <c r="D53" s="7">
        <v>5517931</v>
      </c>
      <c r="E53" s="7">
        <v>10</v>
      </c>
    </row>
    <row r="54" spans="1:5" ht="23.1" customHeight="1" x14ac:dyDescent="0.6">
      <c r="A54" s="6" t="s">
        <v>66</v>
      </c>
      <c r="B54" s="7">
        <v>58071140</v>
      </c>
      <c r="C54" s="7">
        <v>10</v>
      </c>
      <c r="D54" s="7">
        <v>58468400</v>
      </c>
      <c r="E54" s="7">
        <v>10</v>
      </c>
    </row>
    <row r="55" spans="1:5" ht="23.1" customHeight="1" x14ac:dyDescent="0.6">
      <c r="A55" s="6" t="s">
        <v>26</v>
      </c>
      <c r="B55" s="7">
        <v>57103588</v>
      </c>
      <c r="C55" s="7">
        <v>10</v>
      </c>
      <c r="D55" s="7">
        <v>67467375</v>
      </c>
      <c r="E55" s="7">
        <v>10</v>
      </c>
    </row>
    <row r="56" spans="1:5" ht="23.1" customHeight="1" x14ac:dyDescent="0.6">
      <c r="A56" s="6" t="s">
        <v>130</v>
      </c>
      <c r="B56" s="7">
        <v>94110468</v>
      </c>
      <c r="C56" s="7">
        <v>10</v>
      </c>
      <c r="D56" s="7">
        <v>99680182</v>
      </c>
      <c r="E56" s="7">
        <v>10</v>
      </c>
    </row>
    <row r="57" spans="1:5" ht="23.1" customHeight="1" x14ac:dyDescent="0.6">
      <c r="A57" s="6" t="s">
        <v>150</v>
      </c>
      <c r="B57" s="7">
        <v>11813683</v>
      </c>
      <c r="C57" s="7">
        <v>10</v>
      </c>
      <c r="D57" s="7">
        <v>12238982</v>
      </c>
      <c r="E57" s="7">
        <v>10</v>
      </c>
    </row>
    <row r="58" spans="1:5" ht="23.1" customHeight="1" x14ac:dyDescent="0.6">
      <c r="A58" s="6" t="s">
        <v>88</v>
      </c>
      <c r="B58" s="7">
        <v>35173618</v>
      </c>
      <c r="C58" s="7">
        <v>10</v>
      </c>
      <c r="D58" s="7">
        <v>44243916</v>
      </c>
      <c r="E58" s="7">
        <v>10</v>
      </c>
    </row>
    <row r="59" spans="1:5" ht="23.1" customHeight="1" x14ac:dyDescent="0.6">
      <c r="A59" s="6" t="s">
        <v>86</v>
      </c>
      <c r="B59" s="7">
        <v>66358954</v>
      </c>
      <c r="C59" s="7">
        <v>10</v>
      </c>
      <c r="D59" s="7">
        <v>109807549</v>
      </c>
      <c r="E59" s="7">
        <v>10</v>
      </c>
    </row>
    <row r="60" spans="1:5" ht="23.1" customHeight="1" x14ac:dyDescent="0.6">
      <c r="A60" s="6" t="s">
        <v>24</v>
      </c>
      <c r="B60" s="7">
        <v>424657</v>
      </c>
      <c r="C60" s="7">
        <v>10</v>
      </c>
      <c r="D60" s="7">
        <v>5823553</v>
      </c>
      <c r="E60" s="7">
        <v>10</v>
      </c>
    </row>
    <row r="61" spans="1:5" ht="23.1" customHeight="1" x14ac:dyDescent="0.6">
      <c r="A61" s="6" t="s">
        <v>50</v>
      </c>
      <c r="B61" s="7">
        <v>28402262</v>
      </c>
      <c r="C61" s="7">
        <v>10</v>
      </c>
      <c r="D61" s="7">
        <v>54799065</v>
      </c>
      <c r="E61" s="7">
        <v>10</v>
      </c>
    </row>
    <row r="62" spans="1:5" ht="23.1" customHeight="1" x14ac:dyDescent="0.6">
      <c r="A62" s="6" t="s">
        <v>148</v>
      </c>
      <c r="B62" s="7">
        <v>8989730</v>
      </c>
      <c r="C62" s="7">
        <v>10</v>
      </c>
      <c r="D62" s="7">
        <v>9386990</v>
      </c>
      <c r="E62" s="7">
        <v>10</v>
      </c>
    </row>
    <row r="63" spans="1:5" ht="23.1" customHeight="1" x14ac:dyDescent="0.6">
      <c r="A63" s="6" t="s">
        <v>164</v>
      </c>
      <c r="B63" s="7">
        <v>36430854</v>
      </c>
      <c r="C63" s="7">
        <v>10</v>
      </c>
      <c r="D63" s="7">
        <v>46491177</v>
      </c>
      <c r="E63" s="7">
        <v>10</v>
      </c>
    </row>
    <row r="64" spans="1:5" ht="23.1" customHeight="1" x14ac:dyDescent="0.6">
      <c r="A64" s="6" t="s">
        <v>106</v>
      </c>
      <c r="B64" s="7">
        <v>44927941</v>
      </c>
      <c r="C64" s="7">
        <v>10</v>
      </c>
      <c r="D64" s="7">
        <v>54156738</v>
      </c>
      <c r="E64" s="7">
        <v>10</v>
      </c>
    </row>
    <row r="65" spans="1:5" ht="23.1" customHeight="1" x14ac:dyDescent="0.6">
      <c r="A65" s="6" t="s">
        <v>128</v>
      </c>
      <c r="B65" s="7">
        <v>19554523</v>
      </c>
      <c r="C65" s="7">
        <v>10</v>
      </c>
      <c r="D65" s="7">
        <v>48795776</v>
      </c>
      <c r="E65" s="7">
        <v>10</v>
      </c>
    </row>
    <row r="66" spans="1:5" ht="23.1" customHeight="1" x14ac:dyDescent="0.6">
      <c r="A66" s="6" t="s">
        <v>84</v>
      </c>
      <c r="B66" s="7">
        <v>424657</v>
      </c>
      <c r="C66" s="7">
        <v>10</v>
      </c>
      <c r="D66" s="7">
        <v>821917</v>
      </c>
      <c r="E66" s="7">
        <v>10</v>
      </c>
    </row>
    <row r="67" spans="1:5" ht="23.1" customHeight="1" x14ac:dyDescent="0.6">
      <c r="A67" s="6" t="s">
        <v>22</v>
      </c>
      <c r="B67" s="7">
        <v>2858720</v>
      </c>
      <c r="C67" s="7">
        <v>10</v>
      </c>
      <c r="D67" s="7">
        <v>30860185</v>
      </c>
      <c r="E67" s="7">
        <v>10</v>
      </c>
    </row>
    <row r="68" spans="1:5" ht="23.1" customHeight="1" x14ac:dyDescent="0.6">
      <c r="A68" s="6" t="s">
        <v>104</v>
      </c>
      <c r="B68" s="7">
        <v>8318205</v>
      </c>
      <c r="C68" s="7">
        <v>10</v>
      </c>
      <c r="D68" s="7">
        <v>11343492</v>
      </c>
      <c r="E68" s="7">
        <v>10</v>
      </c>
    </row>
    <row r="69" spans="1:5" ht="23.1" customHeight="1" x14ac:dyDescent="0.6">
      <c r="A69" s="6" t="s">
        <v>48</v>
      </c>
      <c r="B69" s="7">
        <v>29053512</v>
      </c>
      <c r="C69" s="7">
        <v>10</v>
      </c>
      <c r="D69" s="7">
        <v>44124721</v>
      </c>
      <c r="E69" s="7">
        <v>10</v>
      </c>
    </row>
    <row r="70" spans="1:5" ht="23.1" customHeight="1" x14ac:dyDescent="0.6">
      <c r="A70" s="6" t="s">
        <v>64</v>
      </c>
      <c r="B70" s="7">
        <v>35827917</v>
      </c>
      <c r="C70" s="7">
        <v>10</v>
      </c>
      <c r="D70" s="7">
        <v>56632942</v>
      </c>
      <c r="E70" s="7">
        <v>10</v>
      </c>
    </row>
    <row r="71" spans="1:5" ht="23.1" customHeight="1" x14ac:dyDescent="0.6">
      <c r="A71" s="6" t="s">
        <v>20</v>
      </c>
      <c r="B71" s="7">
        <v>3414944</v>
      </c>
      <c r="C71" s="7">
        <v>10</v>
      </c>
      <c r="D71" s="7">
        <v>11582596</v>
      </c>
      <c r="E71" s="7">
        <v>10</v>
      </c>
    </row>
    <row r="72" spans="1:5" ht="23.1" customHeight="1" x14ac:dyDescent="0.6">
      <c r="A72" s="6" t="s">
        <v>126</v>
      </c>
      <c r="B72" s="7">
        <v>424657</v>
      </c>
      <c r="C72" s="7">
        <v>10</v>
      </c>
      <c r="D72" s="7">
        <v>821917</v>
      </c>
      <c r="E72" s="7">
        <v>10</v>
      </c>
    </row>
    <row r="73" spans="1:5" ht="23.1" customHeight="1" x14ac:dyDescent="0.6">
      <c r="A73" s="6" t="s">
        <v>146</v>
      </c>
      <c r="B73" s="7">
        <v>298029</v>
      </c>
      <c r="C73" s="7">
        <v>10</v>
      </c>
      <c r="D73" s="7">
        <v>576830</v>
      </c>
      <c r="E73" s="7">
        <v>10</v>
      </c>
    </row>
    <row r="74" spans="1:5" ht="23.1" customHeight="1" x14ac:dyDescent="0.6">
      <c r="A74" s="6" t="s">
        <v>82</v>
      </c>
      <c r="B74" s="7">
        <v>424657</v>
      </c>
      <c r="C74" s="7">
        <v>10</v>
      </c>
      <c r="D74" s="7">
        <v>821917</v>
      </c>
      <c r="E74" s="7">
        <v>10</v>
      </c>
    </row>
    <row r="75" spans="1:5" ht="23.1" customHeight="1" x14ac:dyDescent="0.6">
      <c r="A75" s="6" t="s">
        <v>44</v>
      </c>
      <c r="B75" s="7">
        <v>424657</v>
      </c>
      <c r="C75" s="7">
        <v>10</v>
      </c>
      <c r="D75" s="7">
        <v>821917</v>
      </c>
      <c r="E75" s="7">
        <v>10</v>
      </c>
    </row>
    <row r="76" spans="1:5" ht="23.1" customHeight="1" x14ac:dyDescent="0.6">
      <c r="A76" s="6" t="s">
        <v>46</v>
      </c>
      <c r="B76" s="7">
        <v>424657</v>
      </c>
      <c r="C76" s="7">
        <v>10</v>
      </c>
      <c r="D76" s="7">
        <v>821917</v>
      </c>
      <c r="E76" s="7">
        <v>10</v>
      </c>
    </row>
    <row r="77" spans="1:5" ht="23.1" customHeight="1" x14ac:dyDescent="0.6">
      <c r="A77" s="6" t="s">
        <v>144</v>
      </c>
      <c r="B77" s="7">
        <v>424657</v>
      </c>
      <c r="C77" s="7">
        <v>10</v>
      </c>
      <c r="D77" s="7">
        <v>617633</v>
      </c>
      <c r="E77" s="7">
        <v>10</v>
      </c>
    </row>
    <row r="78" spans="1:5" ht="23.1" customHeight="1" x14ac:dyDescent="0.6">
      <c r="A78" s="6" t="s">
        <v>142</v>
      </c>
      <c r="B78" s="7">
        <v>29514178</v>
      </c>
      <c r="C78" s="7">
        <v>10</v>
      </c>
      <c r="D78" s="7">
        <v>67115128</v>
      </c>
      <c r="E78" s="7">
        <v>10</v>
      </c>
    </row>
    <row r="79" spans="1:5" ht="23.1" customHeight="1" x14ac:dyDescent="0.6">
      <c r="A79" s="6" t="s">
        <v>124</v>
      </c>
      <c r="B79" s="7">
        <v>6297096</v>
      </c>
      <c r="C79" s="7">
        <v>10</v>
      </c>
      <c r="D79" s="7">
        <v>19305857</v>
      </c>
      <c r="E79" s="7">
        <v>10</v>
      </c>
    </row>
    <row r="80" spans="1:5" ht="23.1" customHeight="1" x14ac:dyDescent="0.6">
      <c r="A80" s="6" t="s">
        <v>102</v>
      </c>
      <c r="B80" s="7">
        <v>40263570</v>
      </c>
      <c r="C80" s="7">
        <v>10</v>
      </c>
      <c r="D80" s="7">
        <v>43248242</v>
      </c>
      <c r="E80" s="7">
        <v>10</v>
      </c>
    </row>
    <row r="81" spans="1:6" ht="23.1" customHeight="1" x14ac:dyDescent="0.6">
      <c r="A81" s="6" t="s">
        <v>42</v>
      </c>
      <c r="B81" s="7">
        <v>2080236</v>
      </c>
      <c r="C81" s="7">
        <v>10</v>
      </c>
      <c r="D81" s="7">
        <v>2118711</v>
      </c>
      <c r="E81" s="7">
        <v>10</v>
      </c>
    </row>
    <row r="82" spans="1:6" ht="23.1" customHeight="1" x14ac:dyDescent="0.6">
      <c r="A82" s="6" t="s">
        <v>162</v>
      </c>
      <c r="B82" s="7">
        <v>141283958</v>
      </c>
      <c r="C82" s="7">
        <v>10</v>
      </c>
      <c r="D82" s="7">
        <v>141681218</v>
      </c>
      <c r="E82" s="7">
        <v>10</v>
      </c>
    </row>
    <row r="83" spans="1:6" ht="23.1" customHeight="1" x14ac:dyDescent="0.6">
      <c r="A83" s="6" t="s">
        <v>140</v>
      </c>
      <c r="B83" s="7">
        <v>11773560</v>
      </c>
      <c r="C83" s="7">
        <v>10</v>
      </c>
      <c r="D83" s="7">
        <v>24619363</v>
      </c>
      <c r="E83" s="7">
        <v>10</v>
      </c>
    </row>
    <row r="84" spans="1:6" ht="23.1" customHeight="1" x14ac:dyDescent="0.6">
      <c r="A84" s="6" t="s">
        <v>100</v>
      </c>
      <c r="B84" s="7">
        <v>16928174</v>
      </c>
      <c r="C84" s="7">
        <v>10</v>
      </c>
      <c r="D84" s="7">
        <v>41937428</v>
      </c>
      <c r="E84" s="7">
        <v>10</v>
      </c>
    </row>
    <row r="85" spans="1:6" ht="23.1" customHeight="1" x14ac:dyDescent="0.6">
      <c r="A85" s="6" t="s">
        <v>40</v>
      </c>
      <c r="B85" s="7">
        <v>277098</v>
      </c>
      <c r="C85" s="7">
        <v>10</v>
      </c>
      <c r="D85" s="7">
        <v>534205</v>
      </c>
      <c r="E85" s="7">
        <v>10</v>
      </c>
    </row>
    <row r="86" spans="1:6" ht="23.1" customHeight="1" x14ac:dyDescent="0.6">
      <c r="A86" s="6" t="s">
        <v>16</v>
      </c>
      <c r="B86" s="7">
        <v>12727542</v>
      </c>
      <c r="C86" s="7">
        <v>10</v>
      </c>
      <c r="D86" s="7">
        <v>22386417</v>
      </c>
      <c r="E86" s="7">
        <v>10</v>
      </c>
    </row>
    <row r="87" spans="1:6" ht="23.1" customHeight="1" thickBot="1" x14ac:dyDescent="0.65">
      <c r="A87" s="6" t="s">
        <v>178</v>
      </c>
      <c r="B87" s="40">
        <f>SUM(B9:B86)</f>
        <v>2002916433</v>
      </c>
      <c r="C87" s="6"/>
      <c r="D87" s="40">
        <f>SUM(D9:D86)</f>
        <v>2870557230</v>
      </c>
      <c r="E87" s="6"/>
    </row>
    <row r="88" spans="1:6" ht="23.1" customHeight="1" thickTop="1" x14ac:dyDescent="0.6">
      <c r="A88" s="14" t="s">
        <v>179</v>
      </c>
      <c r="B88" s="16"/>
      <c r="C88" s="15"/>
      <c r="D88" s="16"/>
      <c r="E88" s="15"/>
      <c r="F88" s="8"/>
    </row>
  </sheetData>
  <mergeCells count="6">
    <mergeCell ref="B6:C6"/>
    <mergeCell ref="A4:E4"/>
    <mergeCell ref="D6:E6"/>
    <mergeCell ref="A1:E1"/>
    <mergeCell ref="A2:E2"/>
    <mergeCell ref="A3:E3"/>
  </mergeCells>
  <pageMargins left="0.7" right="0.7" top="0.75" bottom="0.75" header="0.3" footer="0.3"/>
  <pageSetup paperSize="9" scale="70" orientation="portrait" r:id="rId1"/>
  <headerFooter differentOddEven="1" differentFirst="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rightToLeft="1" view="pageBreakPreview" zoomScale="106" zoomScaleNormal="100" zoomScaleSheetLayoutView="106" workbookViewId="0">
      <selection activeCell="I13" sqref="I13"/>
    </sheetView>
  </sheetViews>
  <sheetFormatPr defaultRowHeight="22.5" x14ac:dyDescent="0.6"/>
  <cols>
    <col min="1" max="1" width="46.85546875" style="8" customWidth="1"/>
    <col min="2" max="2" width="29.7109375" style="8" customWidth="1"/>
    <col min="3" max="3" width="31.85546875" style="8" customWidth="1"/>
    <col min="4" max="4" width="9.140625" style="1" customWidth="1"/>
    <col min="5" max="16384" width="9.140625" style="1"/>
  </cols>
  <sheetData>
    <row r="1" spans="1:3" x14ac:dyDescent="0.6">
      <c r="A1" s="63" t="s">
        <v>0</v>
      </c>
      <c r="B1" s="63"/>
      <c r="C1" s="63"/>
    </row>
    <row r="2" spans="1:3" x14ac:dyDescent="0.6">
      <c r="A2" s="63" t="s">
        <v>316</v>
      </c>
      <c r="B2" s="63"/>
      <c r="C2" s="63"/>
    </row>
    <row r="3" spans="1:3" x14ac:dyDescent="0.6">
      <c r="A3" s="63" t="s">
        <v>317</v>
      </c>
      <c r="B3" s="63"/>
      <c r="C3" s="63"/>
    </row>
    <row r="4" spans="1:3" x14ac:dyDescent="0.6">
      <c r="A4" s="88" t="s">
        <v>337</v>
      </c>
      <c r="B4" s="88"/>
      <c r="C4" s="88"/>
    </row>
    <row r="5" spans="1:3" x14ac:dyDescent="0.6">
      <c r="A5" s="4"/>
      <c r="B5" s="5" t="s">
        <v>408</v>
      </c>
      <c r="C5" s="5" t="s">
        <v>319</v>
      </c>
    </row>
    <row r="6" spans="1:3" ht="16.5" customHeight="1" x14ac:dyDescent="0.6">
      <c r="A6" s="89" t="s">
        <v>338</v>
      </c>
      <c r="B6" s="85" t="s">
        <v>12</v>
      </c>
      <c r="C6" s="85" t="s">
        <v>12</v>
      </c>
    </row>
    <row r="7" spans="1:3" x14ac:dyDescent="0.6">
      <c r="A7" s="90"/>
      <c r="B7" s="87"/>
      <c r="C7" s="87"/>
    </row>
    <row r="8" spans="1:3" ht="23.1" customHeight="1" x14ac:dyDescent="0.6">
      <c r="A8" s="6" t="s">
        <v>338</v>
      </c>
      <c r="B8" s="7">
        <v>15466640270</v>
      </c>
      <c r="C8" s="7">
        <v>44378800670</v>
      </c>
    </row>
    <row r="9" spans="1:3" ht="23.1" customHeight="1" thickBot="1" x14ac:dyDescent="0.65">
      <c r="A9" s="6" t="s">
        <v>178</v>
      </c>
      <c r="B9" s="40">
        <f>SUM(B8)</f>
        <v>15466640270</v>
      </c>
      <c r="C9" s="40">
        <f>SUM(C8)</f>
        <v>44378800670</v>
      </c>
    </row>
    <row r="10" spans="1:3" ht="23.1" customHeight="1" thickTop="1" x14ac:dyDescent="0.6">
      <c r="A10" s="6" t="s">
        <v>179</v>
      </c>
      <c r="B10" s="7"/>
      <c r="C10" s="7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scale="80" orientation="portrait" r:id="rId1"/>
  <headerFooter differentOddEven="1" differentFirst="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rightToLeft="1" tabSelected="1" workbookViewId="0">
      <selection activeCell="D13" sqref="D13"/>
    </sheetView>
  </sheetViews>
  <sheetFormatPr defaultColWidth="41.42578125" defaultRowHeight="41.25" customHeight="1" x14ac:dyDescent="0.6"/>
  <cols>
    <col min="1" max="16384" width="41.42578125" style="103"/>
  </cols>
  <sheetData>
    <row r="1" spans="1:4" ht="41.25" customHeight="1" x14ac:dyDescent="0.6">
      <c r="A1" s="102" t="s">
        <v>0</v>
      </c>
      <c r="B1" s="102"/>
      <c r="C1" s="102"/>
      <c r="D1" s="102"/>
    </row>
    <row r="2" spans="1:4" ht="41.25" customHeight="1" x14ac:dyDescent="0.6">
      <c r="A2" s="102" t="s">
        <v>428</v>
      </c>
      <c r="B2" s="102"/>
      <c r="C2" s="102"/>
      <c r="D2" s="102"/>
    </row>
    <row r="3" spans="1:4" ht="41.25" customHeight="1" x14ac:dyDescent="0.6">
      <c r="A3" s="104" t="s">
        <v>427</v>
      </c>
      <c r="B3" s="104"/>
      <c r="C3" s="104"/>
      <c r="D3" s="104"/>
    </row>
    <row r="4" spans="1:4" ht="41.25" customHeight="1" x14ac:dyDescent="0.85">
      <c r="A4" s="105" t="str">
        <f>'[1]ریز محاسبات'!A1</f>
        <v>نسبت های کفایت سرمایۀ صندوق سرمایه گذاری اختصاصی بازارگردانی صبا گستر نفت و گاز تامین در تاریخ 1401/02/31</v>
      </c>
      <c r="B4" s="106"/>
      <c r="C4" s="106"/>
      <c r="D4" s="107"/>
    </row>
    <row r="5" spans="1:4" ht="41.25" customHeight="1" x14ac:dyDescent="0.6">
      <c r="A5" s="98"/>
      <c r="B5" s="99" t="s">
        <v>414</v>
      </c>
      <c r="C5" s="100" t="s">
        <v>415</v>
      </c>
      <c r="D5" s="100" t="s">
        <v>416</v>
      </c>
    </row>
    <row r="6" spans="1:4" ht="41.25" customHeight="1" x14ac:dyDescent="0.6">
      <c r="A6" s="101" t="s">
        <v>417</v>
      </c>
      <c r="B6" s="93">
        <f>'[1]ریز محاسبات'!E83</f>
        <v>82858731</v>
      </c>
      <c r="C6" s="93">
        <f>'[1]ریز محاسبات'!F83</f>
        <v>56626692.300000004</v>
      </c>
      <c r="D6" s="93">
        <f>'[1]ریز محاسبات'!G83</f>
        <v>74930505.700000003</v>
      </c>
    </row>
    <row r="7" spans="1:4" ht="41.25" customHeight="1" x14ac:dyDescent="0.6">
      <c r="A7" s="101" t="s">
        <v>418</v>
      </c>
      <c r="B7" s="93">
        <f>'[1]ریز محاسبات'!E166</f>
        <v>0</v>
      </c>
      <c r="C7" s="93">
        <f>'[1]ریز محاسبات'!F166</f>
        <v>0</v>
      </c>
      <c r="D7" s="93">
        <f>'[1]ریز محاسبات'!G166</f>
        <v>0</v>
      </c>
    </row>
    <row r="8" spans="1:4" ht="41.25" customHeight="1" x14ac:dyDescent="0.6">
      <c r="A8" s="101" t="s">
        <v>419</v>
      </c>
      <c r="B8" s="93">
        <f>B6+B7</f>
        <v>82858731</v>
      </c>
      <c r="C8" s="93">
        <f t="shared" ref="C8:D8" si="0">C6+C7</f>
        <v>56626692.300000004</v>
      </c>
      <c r="D8" s="93">
        <f t="shared" si="0"/>
        <v>74930505.700000003</v>
      </c>
    </row>
    <row r="9" spans="1:4" ht="41.25" customHeight="1" x14ac:dyDescent="0.6">
      <c r="A9" s="101" t="s">
        <v>420</v>
      </c>
      <c r="B9" s="93">
        <f>'[1]ریز محاسبات'!E182</f>
        <v>2027739</v>
      </c>
      <c r="C9" s="93">
        <f>'[1]ریز محاسبات'!F182</f>
        <v>1622473.2</v>
      </c>
      <c r="D9" s="93">
        <f>'[1]ریز محاسبات'!G182</f>
        <v>1419840.3</v>
      </c>
    </row>
    <row r="10" spans="1:4" ht="41.25" customHeight="1" x14ac:dyDescent="0.6">
      <c r="A10" s="101" t="s">
        <v>421</v>
      </c>
      <c r="B10" s="93">
        <f>'[1]ریز محاسبات'!E194</f>
        <v>0</v>
      </c>
      <c r="C10" s="93">
        <f>'[1]ریز محاسبات'!F194</f>
        <v>0</v>
      </c>
      <c r="D10" s="93">
        <f>'[1]ریز محاسبات'!G194</f>
        <v>0</v>
      </c>
    </row>
    <row r="11" spans="1:4" ht="41.25" customHeight="1" x14ac:dyDescent="0.6">
      <c r="A11" s="101" t="s">
        <v>422</v>
      </c>
      <c r="B11" s="93">
        <f>B9+B10</f>
        <v>2027739</v>
      </c>
      <c r="C11" s="93">
        <f t="shared" ref="C11:D11" si="1">C9+C10</f>
        <v>1622473.2</v>
      </c>
      <c r="D11" s="93">
        <f t="shared" si="1"/>
        <v>1419840.3</v>
      </c>
    </row>
    <row r="12" spans="1:4" ht="41.25" customHeight="1" x14ac:dyDescent="0.6">
      <c r="A12" s="101" t="s">
        <v>423</v>
      </c>
      <c r="B12" s="93">
        <f>'[1]ریز محاسبات'!E254</f>
        <v>1489310</v>
      </c>
      <c r="C12" s="93">
        <f>'[1]ریز محاسبات'!F254</f>
        <v>744655</v>
      </c>
      <c r="D12" s="93">
        <f>'[1]ریز محاسبات'!G254</f>
        <v>7446550</v>
      </c>
    </row>
    <row r="13" spans="1:4" ht="41.25" customHeight="1" x14ac:dyDescent="0.6">
      <c r="A13" s="101" t="s">
        <v>424</v>
      </c>
      <c r="B13" s="93">
        <f>B11+B12</f>
        <v>3517049</v>
      </c>
      <c r="C13" s="93">
        <f t="shared" ref="C13:D13" si="2">C11+C12</f>
        <v>2367128.2000000002</v>
      </c>
      <c r="D13" s="93">
        <f t="shared" si="2"/>
        <v>8866390.3000000007</v>
      </c>
    </row>
    <row r="14" spans="1:4" ht="41.25" customHeight="1" x14ac:dyDescent="0.6">
      <c r="A14" s="101" t="s">
        <v>425</v>
      </c>
      <c r="B14" s="94">
        <f>B6/(B9+B12)</f>
        <v>23.559163093832357</v>
      </c>
      <c r="C14" s="94">
        <f>C8/C13</f>
        <v>23.922106246717014</v>
      </c>
      <c r="D14" s="96"/>
    </row>
    <row r="15" spans="1:4" ht="41.25" customHeight="1" x14ac:dyDescent="0.6">
      <c r="A15" s="101" t="s">
        <v>426</v>
      </c>
      <c r="B15" s="95">
        <f>B13/B8</f>
        <v>4.2446329524404615E-2</v>
      </c>
      <c r="C15" s="97"/>
      <c r="D15" s="95">
        <f>D13/D8</f>
        <v>0.11832817911970932</v>
      </c>
    </row>
  </sheetData>
  <mergeCells count="4">
    <mergeCell ref="A4:D4"/>
    <mergeCell ref="A2:D2"/>
    <mergeCell ref="A3:D3"/>
    <mergeCell ref="A1:D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rightToLeft="1" view="pageBreakPreview" topLeftCell="A82" zoomScale="106" zoomScaleNormal="100" zoomScaleSheetLayoutView="106" workbookViewId="0">
      <selection activeCell="N1" sqref="N1:N1048576"/>
    </sheetView>
  </sheetViews>
  <sheetFormatPr defaultRowHeight="20.25" x14ac:dyDescent="0.55000000000000004"/>
  <cols>
    <col min="1" max="1" width="31" style="23" customWidth="1"/>
    <col min="2" max="2" width="15.28515625" style="23" customWidth="1"/>
    <col min="3" max="4" width="17.28515625" style="23" customWidth="1"/>
    <col min="5" max="5" width="11" style="23" customWidth="1"/>
    <col min="6" max="6" width="16.42578125" style="23" customWidth="1"/>
    <col min="7" max="7" width="11.28515625" style="23" customWidth="1"/>
    <col min="8" max="8" width="17.28515625" style="23" customWidth="1"/>
    <col min="9" max="9" width="15.85546875" style="23" customWidth="1"/>
    <col min="10" max="10" width="12.85546875" style="23" customWidth="1"/>
    <col min="11" max="11" width="17.28515625" style="23" customWidth="1"/>
    <col min="12" max="12" width="25.7109375" style="23" customWidth="1"/>
    <col min="13" max="13" width="13" style="39" customWidth="1"/>
    <col min="14" max="14" width="0.140625" style="43" customWidth="1"/>
    <col min="15" max="16384" width="9.140625" style="22"/>
  </cols>
  <sheetData>
    <row r="1" spans="1:14" x14ac:dyDescent="0.55000000000000004">
      <c r="A1" s="72" t="s">
        <v>181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4" x14ac:dyDescent="0.55000000000000004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4" x14ac:dyDescent="0.55000000000000004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4" x14ac:dyDescent="0.55000000000000004">
      <c r="A4" s="75" t="s">
        <v>182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4" x14ac:dyDescent="0.55000000000000004">
      <c r="A5" s="75" t="s">
        <v>183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7" spans="1:14" ht="18.75" customHeight="1" thickBot="1" x14ac:dyDescent="0.6">
      <c r="A7" s="32"/>
      <c r="B7" s="67" t="s">
        <v>5</v>
      </c>
      <c r="C7" s="67"/>
      <c r="D7" s="67"/>
      <c r="E7" s="76" t="s">
        <v>6</v>
      </c>
      <c r="F7" s="76"/>
      <c r="G7" s="76"/>
      <c r="H7" s="76"/>
      <c r="I7" s="67" t="s">
        <v>7</v>
      </c>
      <c r="J7" s="67"/>
      <c r="K7" s="67"/>
      <c r="L7" s="67"/>
      <c r="M7" s="67"/>
    </row>
    <row r="8" spans="1:14" ht="17.25" customHeight="1" x14ac:dyDescent="0.55000000000000004">
      <c r="A8" s="73" t="s">
        <v>184</v>
      </c>
      <c r="B8" s="73" t="s">
        <v>185</v>
      </c>
      <c r="C8" s="73" t="s">
        <v>186</v>
      </c>
      <c r="D8" s="68" t="s">
        <v>187</v>
      </c>
      <c r="E8" s="74" t="s">
        <v>188</v>
      </c>
      <c r="F8" s="74"/>
      <c r="G8" s="72" t="s">
        <v>189</v>
      </c>
      <c r="H8" s="72"/>
      <c r="I8" s="68" t="s">
        <v>185</v>
      </c>
      <c r="J8" s="69" t="s">
        <v>399</v>
      </c>
      <c r="K8" s="68" t="s">
        <v>186</v>
      </c>
      <c r="L8" s="68" t="s">
        <v>187</v>
      </c>
      <c r="M8" s="70" t="s">
        <v>398</v>
      </c>
    </row>
    <row r="9" spans="1:14" ht="20.25" customHeight="1" thickBot="1" x14ac:dyDescent="0.6">
      <c r="A9" s="67"/>
      <c r="B9" s="67"/>
      <c r="C9" s="67"/>
      <c r="D9" s="67"/>
      <c r="E9" s="26" t="s">
        <v>185</v>
      </c>
      <c r="F9" s="26" t="s">
        <v>190</v>
      </c>
      <c r="G9" s="26" t="s">
        <v>185</v>
      </c>
      <c r="H9" s="26" t="s">
        <v>191</v>
      </c>
      <c r="I9" s="67"/>
      <c r="J9" s="67"/>
      <c r="K9" s="67"/>
      <c r="L9" s="67"/>
      <c r="M9" s="71"/>
    </row>
    <row r="10" spans="1:14" ht="23.1" customHeight="1" x14ac:dyDescent="0.55000000000000004">
      <c r="A10" s="6" t="s">
        <v>192</v>
      </c>
      <c r="B10" s="7">
        <v>18683099</v>
      </c>
      <c r="C10" s="7">
        <v>197712663702</v>
      </c>
      <c r="D10" s="7">
        <v>158125581688</v>
      </c>
      <c r="E10" s="7">
        <v>613628</v>
      </c>
      <c r="F10" s="7">
        <v>6081028767</v>
      </c>
      <c r="G10" s="7">
        <v>1416491</v>
      </c>
      <c r="H10" s="7">
        <v>14957392342</v>
      </c>
      <c r="I10" s="7">
        <f>Table1[[#This Row],[18683099]]-Table1[[#This Row],[1416491]]+Table1[[#This Row],[613628]]</f>
        <v>17880236</v>
      </c>
      <c r="J10" s="37">
        <v>11310</v>
      </c>
      <c r="K10" s="7">
        <f>Table1[[#This Row],[197712663702.0000]]-Table1[[#This Row],[14957392342]]+Table1[[#This Row],[6081028767]]</f>
        <v>188836300127</v>
      </c>
      <c r="L10" s="7">
        <v>202071777805</v>
      </c>
      <c r="M10" s="38">
        <f>(Table1[[#This Row],[202071777805.0000]]/Table1[[#This Row],[Column1]])*100</f>
        <v>0.24999294291564211</v>
      </c>
      <c r="N10" s="43">
        <v>80830992846541</v>
      </c>
    </row>
    <row r="11" spans="1:14" ht="23.1" customHeight="1" x14ac:dyDescent="0.55000000000000004">
      <c r="A11" s="6" t="s">
        <v>193</v>
      </c>
      <c r="B11" s="7">
        <v>105818657</v>
      </c>
      <c r="C11" s="7">
        <v>417961971257</v>
      </c>
      <c r="D11" s="7">
        <v>319526756690</v>
      </c>
      <c r="E11" s="7">
        <v>102802661</v>
      </c>
      <c r="F11" s="7">
        <v>4765241170</v>
      </c>
      <c r="G11" s="7">
        <v>126575395</v>
      </c>
      <c r="H11" s="7">
        <v>98352891582</v>
      </c>
      <c r="I11" s="7">
        <f>Table1[[#This Row],[18683099]]-Table1[[#This Row],[1416491]]+Table1[[#This Row],[613628]]</f>
        <v>82045923</v>
      </c>
      <c r="J11" s="37">
        <v>4283</v>
      </c>
      <c r="K11" s="7">
        <f>Table1[[#This Row],[197712663702.0000]]-Table1[[#This Row],[14957392342]]+Table1[[#This Row],[6081028767]]</f>
        <v>324374320845</v>
      </c>
      <c r="L11" s="7">
        <v>351135622169</v>
      </c>
      <c r="M11" s="38">
        <f>(Table1[[#This Row],[202071777805.0000]]/Table1[[#This Row],[Column1]])*100</f>
        <v>0.43440716215825392</v>
      </c>
      <c r="N11" s="43">
        <v>80830992846541</v>
      </c>
    </row>
    <row r="12" spans="1:14" ht="23.1" customHeight="1" x14ac:dyDescent="0.55000000000000004">
      <c r="A12" s="6" t="s">
        <v>194</v>
      </c>
      <c r="B12" s="7">
        <v>23244861</v>
      </c>
      <c r="C12" s="7">
        <v>367867977558</v>
      </c>
      <c r="D12" s="7">
        <v>320303017752</v>
      </c>
      <c r="E12" s="7">
        <v>222228</v>
      </c>
      <c r="F12" s="7">
        <v>3214496210</v>
      </c>
      <c r="G12" s="7">
        <v>765514</v>
      </c>
      <c r="H12" s="7">
        <v>12107596491</v>
      </c>
      <c r="I12" s="7">
        <f>Table1[[#This Row],[18683099]]-Table1[[#This Row],[1416491]]+Table1[[#This Row],[613628]]</f>
        <v>22701575</v>
      </c>
      <c r="J12" s="37">
        <v>15450</v>
      </c>
      <c r="K12" s="7">
        <f>Table1[[#This Row],[197712663702.0000]]-Table1[[#This Row],[14957392342]]+Table1[[#This Row],[6081028767]]</f>
        <v>358974877277</v>
      </c>
      <c r="L12" s="7">
        <v>350472771859</v>
      </c>
      <c r="M12" s="38">
        <f>(Table1[[#This Row],[202071777805.0000]]/Table1[[#This Row],[Column1]])*100</f>
        <v>0.43358711741222633</v>
      </c>
      <c r="N12" s="43">
        <v>80830992846541</v>
      </c>
    </row>
    <row r="13" spans="1:14" ht="23.1" customHeight="1" x14ac:dyDescent="0.55000000000000004">
      <c r="A13" s="6" t="s">
        <v>195</v>
      </c>
      <c r="B13" s="7">
        <v>3295970</v>
      </c>
      <c r="C13" s="7">
        <v>374524656984</v>
      </c>
      <c r="D13" s="7">
        <v>330861500211</v>
      </c>
      <c r="E13" s="7">
        <v>206906</v>
      </c>
      <c r="F13" s="7">
        <v>24435667443</v>
      </c>
      <c r="G13" s="7">
        <v>1264045</v>
      </c>
      <c r="H13" s="7">
        <v>143668481171</v>
      </c>
      <c r="I13" s="7">
        <f>Table1[[#This Row],[18683099]]-Table1[[#This Row],[1416491]]+Table1[[#This Row],[613628]]</f>
        <v>2238831</v>
      </c>
      <c r="J13" s="37">
        <v>111580</v>
      </c>
      <c r="K13" s="7">
        <f>Table1[[#This Row],[197712663702.0000]]-Table1[[#This Row],[14957392342]]+Table1[[#This Row],[6081028767]]</f>
        <v>255291843256</v>
      </c>
      <c r="L13" s="7">
        <v>249618908323</v>
      </c>
      <c r="M13" s="38">
        <f>(Table1[[#This Row],[202071777805.0000]]/Table1[[#This Row],[Column1]])*100</f>
        <v>0.3088158384951496</v>
      </c>
      <c r="N13" s="43">
        <v>80830992846541</v>
      </c>
    </row>
    <row r="14" spans="1:14" ht="23.1" customHeight="1" x14ac:dyDescent="0.55000000000000004">
      <c r="A14" s="6" t="s">
        <v>196</v>
      </c>
      <c r="B14" s="7">
        <v>15364818</v>
      </c>
      <c r="C14" s="7">
        <v>251973257257</v>
      </c>
      <c r="D14" s="7">
        <v>258546890038</v>
      </c>
      <c r="E14" s="7">
        <v>289958</v>
      </c>
      <c r="F14" s="7">
        <v>4947479746</v>
      </c>
      <c r="G14" s="7">
        <v>1265624</v>
      </c>
      <c r="H14" s="7">
        <v>20756061920</v>
      </c>
      <c r="I14" s="7">
        <f>Table1[[#This Row],[18683099]]-Table1[[#This Row],[1416491]]+Table1[[#This Row],[613628]]</f>
        <v>14389152</v>
      </c>
      <c r="J14" s="37">
        <v>17220</v>
      </c>
      <c r="K14" s="7">
        <f>Table1[[#This Row],[197712663702.0000]]-Table1[[#This Row],[14957392342]]+Table1[[#This Row],[6081028767]]</f>
        <v>236164675083</v>
      </c>
      <c r="L14" s="7">
        <v>247592883733</v>
      </c>
      <c r="M14" s="38">
        <f>(Table1[[#This Row],[202071777805.0000]]/Table1[[#This Row],[Column1]])*100</f>
        <v>0.30630934374771229</v>
      </c>
      <c r="N14" s="43">
        <v>80830992846541</v>
      </c>
    </row>
    <row r="15" spans="1:14" ht="23.1" customHeight="1" x14ac:dyDescent="0.55000000000000004">
      <c r="A15" s="6" t="s">
        <v>197</v>
      </c>
      <c r="B15" s="7">
        <v>19774051</v>
      </c>
      <c r="C15" s="7">
        <v>190110827328</v>
      </c>
      <c r="D15" s="7">
        <v>185734813583</v>
      </c>
      <c r="E15" s="7">
        <v>766034</v>
      </c>
      <c r="F15" s="7">
        <v>7522253857</v>
      </c>
      <c r="G15" s="7">
        <v>2350195</v>
      </c>
      <c r="H15" s="7">
        <v>22592099666</v>
      </c>
      <c r="I15" s="7">
        <f>Table1[[#This Row],[18683099]]-Table1[[#This Row],[1416491]]+Table1[[#This Row],[613628]]</f>
        <v>18189890</v>
      </c>
      <c r="J15" s="37">
        <v>11250</v>
      </c>
      <c r="K15" s="7">
        <f>Table1[[#This Row],[197712663702.0000]]-Table1[[#This Row],[14957392342]]+Table1[[#This Row],[6081028767]]</f>
        <v>175040981519</v>
      </c>
      <c r="L15" s="7">
        <v>204480738943</v>
      </c>
      <c r="M15" s="38">
        <f>(Table1[[#This Row],[202071777805.0000]]/Table1[[#This Row],[Column1]])*100</f>
        <v>0.25297318731592239</v>
      </c>
      <c r="N15" s="43">
        <v>80830992846541</v>
      </c>
    </row>
    <row r="16" spans="1:14" ht="23.1" customHeight="1" x14ac:dyDescent="0.55000000000000004">
      <c r="A16" s="6" t="s">
        <v>198</v>
      </c>
      <c r="B16" s="7">
        <v>3031674</v>
      </c>
      <c r="C16" s="7">
        <v>60929915878</v>
      </c>
      <c r="D16" s="7">
        <v>59678587580</v>
      </c>
      <c r="E16" s="7">
        <v>1548445</v>
      </c>
      <c r="F16" s="7">
        <v>31728069018</v>
      </c>
      <c r="G16" s="7">
        <v>3218760</v>
      </c>
      <c r="H16" s="7">
        <v>64682996652</v>
      </c>
      <c r="I16" s="7">
        <f>Table1[[#This Row],[18683099]]-Table1[[#This Row],[1416491]]+Table1[[#This Row],[613628]]</f>
        <v>1361359</v>
      </c>
      <c r="J16" s="37">
        <v>20670</v>
      </c>
      <c r="K16" s="7">
        <f>Table1[[#This Row],[197712663702.0000]]-Table1[[#This Row],[14957392342]]+Table1[[#This Row],[6081028767]]</f>
        <v>27974988244</v>
      </c>
      <c r="L16" s="7">
        <v>28117904674</v>
      </c>
      <c r="M16" s="38">
        <f>(Table1[[#This Row],[202071777805.0000]]/Table1[[#This Row],[Column1]])*100</f>
        <v>3.4786043921769358E-2</v>
      </c>
      <c r="N16" s="43">
        <v>80830992846541</v>
      </c>
    </row>
    <row r="17" spans="1:14" ht="23.1" customHeight="1" x14ac:dyDescent="0.55000000000000004">
      <c r="A17" s="6" t="s">
        <v>199</v>
      </c>
      <c r="B17" s="7">
        <v>1271772</v>
      </c>
      <c r="C17" s="7">
        <v>40334998236</v>
      </c>
      <c r="D17" s="7">
        <v>46168362121</v>
      </c>
      <c r="E17" s="7">
        <v>500699</v>
      </c>
      <c r="F17" s="7">
        <v>17192609045</v>
      </c>
      <c r="G17" s="7">
        <v>812470</v>
      </c>
      <c r="H17" s="7">
        <v>26241104152</v>
      </c>
      <c r="I17" s="7">
        <f>Table1[[#This Row],[18683099]]-Table1[[#This Row],[1416491]]+Table1[[#This Row],[613628]]</f>
        <v>960001</v>
      </c>
      <c r="J17" s="37">
        <v>35200</v>
      </c>
      <c r="K17" s="7">
        <f>Table1[[#This Row],[197712663702.0000]]-Table1[[#This Row],[14957392342]]+Table1[[#This Row],[6081028767]]</f>
        <v>31286503129</v>
      </c>
      <c r="L17" s="7">
        <v>33766353257</v>
      </c>
      <c r="M17" s="38">
        <f>(Table1[[#This Row],[202071777805.0000]]/Table1[[#This Row],[Column1]])*100</f>
        <v>4.1774017697773419E-2</v>
      </c>
      <c r="N17" s="43">
        <v>80830992846541</v>
      </c>
    </row>
    <row r="18" spans="1:14" ht="23.1" customHeight="1" x14ac:dyDescent="0.55000000000000004">
      <c r="A18" s="6" t="s">
        <v>200</v>
      </c>
      <c r="B18" s="7">
        <v>20215938</v>
      </c>
      <c r="C18" s="7">
        <v>147680923915</v>
      </c>
      <c r="D18" s="7">
        <v>139787971304</v>
      </c>
      <c r="E18" s="7">
        <v>2416295</v>
      </c>
      <c r="F18" s="7">
        <v>17981992709</v>
      </c>
      <c r="G18" s="7">
        <v>6617896</v>
      </c>
      <c r="H18" s="7">
        <v>48276588966</v>
      </c>
      <c r="I18" s="7">
        <f>Table1[[#This Row],[18683099]]-Table1[[#This Row],[1416491]]+Table1[[#This Row],[613628]]</f>
        <v>16014337</v>
      </c>
      <c r="J18" s="37">
        <v>7810</v>
      </c>
      <c r="K18" s="7">
        <f>Table1[[#This Row],[197712663702.0000]]-Table1[[#This Row],[14957392342]]+Table1[[#This Row],[6081028767]]</f>
        <v>117386327658</v>
      </c>
      <c r="L18" s="7">
        <v>124976917275</v>
      </c>
      <c r="M18" s="38">
        <f>(Table1[[#This Row],[202071777805.0000]]/Table1[[#This Row],[Column1]])*100</f>
        <v>0.15461509610833404</v>
      </c>
      <c r="N18" s="43">
        <v>80830992846541</v>
      </c>
    </row>
    <row r="19" spans="1:14" ht="23.1" customHeight="1" x14ac:dyDescent="0.55000000000000004">
      <c r="A19" s="6" t="s">
        <v>201</v>
      </c>
      <c r="B19" s="7">
        <v>4613619</v>
      </c>
      <c r="C19" s="7">
        <v>280440997632</v>
      </c>
      <c r="D19" s="7">
        <v>192887113261</v>
      </c>
      <c r="E19" s="7">
        <v>0</v>
      </c>
      <c r="F19" s="7">
        <v>0</v>
      </c>
      <c r="G19" s="7">
        <v>0</v>
      </c>
      <c r="H19" s="7">
        <v>0</v>
      </c>
      <c r="I19" s="7">
        <f>Table1[[#This Row],[18683099]]-Table1[[#This Row],[1416491]]+Table1[[#This Row],[613628]]</f>
        <v>4613619</v>
      </c>
      <c r="J19" s="37">
        <v>46600</v>
      </c>
      <c r="K19" s="7">
        <f>Table1[[#This Row],[197712663702.0000]]-Table1[[#This Row],[14957392342]]+Table1[[#This Row],[6081028767]]</f>
        <v>280440997632</v>
      </c>
      <c r="L19" s="7">
        <v>214831249473</v>
      </c>
      <c r="M19" s="38">
        <f>(Table1[[#This Row],[202071777805.0000]]/Table1[[#This Row],[Column1]])*100</f>
        <v>0.26577831337648017</v>
      </c>
      <c r="N19" s="43">
        <v>80830992846541</v>
      </c>
    </row>
    <row r="20" spans="1:14" ht="23.1" customHeight="1" x14ac:dyDescent="0.55000000000000004">
      <c r="A20" s="6" t="s">
        <v>202</v>
      </c>
      <c r="B20" s="7">
        <v>16084369</v>
      </c>
      <c r="C20" s="7">
        <v>605989398120</v>
      </c>
      <c r="D20" s="7">
        <v>483771560877</v>
      </c>
      <c r="E20" s="7">
        <v>766048</v>
      </c>
      <c r="F20" s="7">
        <v>25405781041</v>
      </c>
      <c r="G20" s="7">
        <v>1656040</v>
      </c>
      <c r="H20" s="7">
        <v>62301411164</v>
      </c>
      <c r="I20" s="7">
        <f>Table1[[#This Row],[18683099]]-Table1[[#This Row],[1416491]]+Table1[[#This Row],[613628]]</f>
        <v>15194377</v>
      </c>
      <c r="J20" s="37">
        <v>31200</v>
      </c>
      <c r="K20" s="7">
        <f>Table1[[#This Row],[197712663702.0000]]-Table1[[#This Row],[14957392342]]+Table1[[#This Row],[6081028767]]</f>
        <v>569093767997</v>
      </c>
      <c r="L20" s="7">
        <v>473704273337</v>
      </c>
      <c r="M20" s="38">
        <f>(Table1[[#This Row],[202071777805.0000]]/Table1[[#This Row],[Column1]])*100</f>
        <v>0.58604287372336938</v>
      </c>
      <c r="N20" s="43">
        <v>80830992846541</v>
      </c>
    </row>
    <row r="21" spans="1:14" ht="23.1" customHeight="1" x14ac:dyDescent="0.55000000000000004">
      <c r="A21" s="6" t="s">
        <v>203</v>
      </c>
      <c r="B21" s="7">
        <v>1201232</v>
      </c>
      <c r="C21" s="7">
        <v>25665011781</v>
      </c>
      <c r="D21" s="7">
        <v>24162422755</v>
      </c>
      <c r="E21" s="7">
        <v>1012533</v>
      </c>
      <c r="F21" s="7">
        <v>24413421989</v>
      </c>
      <c r="G21" s="7">
        <v>1694085</v>
      </c>
      <c r="H21" s="7">
        <v>37645319632</v>
      </c>
      <c r="I21" s="7">
        <f>Table1[[#This Row],[18683099]]-Table1[[#This Row],[1416491]]+Table1[[#This Row],[613628]]</f>
        <v>519680</v>
      </c>
      <c r="J21" s="37">
        <v>23500</v>
      </c>
      <c r="K21" s="7">
        <f>Table1[[#This Row],[197712663702.0000]]-Table1[[#This Row],[14957392342]]+Table1[[#This Row],[6081028767]]</f>
        <v>12433114138</v>
      </c>
      <c r="L21" s="7">
        <v>12203198519</v>
      </c>
      <c r="M21" s="38">
        <f>(Table1[[#This Row],[202071777805.0000]]/Table1[[#This Row],[Column1]])*100</f>
        <v>1.5097177566738514E-2</v>
      </c>
      <c r="N21" s="43">
        <v>80830992846541</v>
      </c>
    </row>
    <row r="22" spans="1:14" ht="23.1" customHeight="1" x14ac:dyDescent="0.55000000000000004">
      <c r="A22" s="6" t="s">
        <v>204</v>
      </c>
      <c r="B22" s="7">
        <v>6396469</v>
      </c>
      <c r="C22" s="7">
        <v>268350522739</v>
      </c>
      <c r="D22" s="7">
        <v>181202077832</v>
      </c>
      <c r="E22" s="7">
        <v>113337</v>
      </c>
      <c r="F22" s="7">
        <v>3508457882</v>
      </c>
      <c r="G22" s="7">
        <v>527461</v>
      </c>
      <c r="H22" s="7">
        <v>22084043590</v>
      </c>
      <c r="I22" s="7">
        <f>Table1[[#This Row],[18683099]]-Table1[[#This Row],[1416491]]+Table1[[#This Row],[613628]]</f>
        <v>5982345</v>
      </c>
      <c r="J22" s="37">
        <v>31580</v>
      </c>
      <c r="K22" s="7">
        <f>Table1[[#This Row],[197712663702.0000]]-Table1[[#This Row],[14957392342]]+Table1[[#This Row],[6081028767]]</f>
        <v>249774937031</v>
      </c>
      <c r="L22" s="7">
        <v>188778874039</v>
      </c>
      <c r="M22" s="38">
        <f>(Table1[[#This Row],[202071777805.0000]]/Table1[[#This Row],[Column1]])*100</f>
        <v>0.23354763734920325</v>
      </c>
      <c r="N22" s="43">
        <v>80830992846541</v>
      </c>
    </row>
    <row r="23" spans="1:14" ht="23.1" customHeight="1" x14ac:dyDescent="0.55000000000000004">
      <c r="A23" s="6" t="s">
        <v>205</v>
      </c>
      <c r="B23" s="7">
        <v>24887729</v>
      </c>
      <c r="C23" s="7">
        <v>141611485560</v>
      </c>
      <c r="D23" s="7">
        <v>119494652840</v>
      </c>
      <c r="E23" s="7">
        <v>1637906</v>
      </c>
      <c r="F23" s="7">
        <v>8324880419</v>
      </c>
      <c r="G23" s="7">
        <v>5211054</v>
      </c>
      <c r="H23" s="7">
        <v>29566682196</v>
      </c>
      <c r="I23" s="7">
        <f>Table1[[#This Row],[18683099]]-Table1[[#This Row],[1416491]]+Table1[[#This Row],[613628]]</f>
        <v>21314581</v>
      </c>
      <c r="J23" s="37">
        <v>5160</v>
      </c>
      <c r="K23" s="7">
        <f>Table1[[#This Row],[197712663702.0000]]-Table1[[#This Row],[14957392342]]+Table1[[#This Row],[6081028767]]</f>
        <v>120369683783</v>
      </c>
      <c r="L23" s="7">
        <v>109899650703</v>
      </c>
      <c r="M23" s="38">
        <f>(Table1[[#This Row],[202071777805.0000]]/Table1[[#This Row],[Column1]])*100</f>
        <v>0.13596226748277895</v>
      </c>
      <c r="N23" s="43">
        <v>80830992846541</v>
      </c>
    </row>
    <row r="24" spans="1:14" ht="23.1" customHeight="1" x14ac:dyDescent="0.55000000000000004">
      <c r="A24" s="6" t="s">
        <v>206</v>
      </c>
      <c r="B24" s="7">
        <v>10563237</v>
      </c>
      <c r="C24" s="7">
        <v>191840835575</v>
      </c>
      <c r="D24" s="7">
        <v>211843043428</v>
      </c>
      <c r="E24" s="7">
        <v>833608</v>
      </c>
      <c r="F24" s="7">
        <v>18046402857</v>
      </c>
      <c r="G24" s="7">
        <v>1955878</v>
      </c>
      <c r="H24" s="7">
        <v>35742989388</v>
      </c>
      <c r="I24" s="7">
        <f>Table1[[#This Row],[18683099]]-Table1[[#This Row],[1416491]]+Table1[[#This Row],[613628]]</f>
        <v>9440967</v>
      </c>
      <c r="J24" s="37">
        <v>22280</v>
      </c>
      <c r="K24" s="7">
        <f>Table1[[#This Row],[197712663702.0000]]-Table1[[#This Row],[14957392342]]+Table1[[#This Row],[6081028767]]</f>
        <v>174144249044</v>
      </c>
      <c r="L24" s="7">
        <v>210184882759</v>
      </c>
      <c r="M24" s="38">
        <f>(Table1[[#This Row],[202071777805.0000]]/Table1[[#This Row],[Column1]])*100</f>
        <v>0.26003006440616105</v>
      </c>
      <c r="N24" s="43">
        <v>80830992846541</v>
      </c>
    </row>
    <row r="25" spans="1:14" ht="23.1" customHeight="1" x14ac:dyDescent="0.55000000000000004">
      <c r="A25" s="6" t="s">
        <v>207</v>
      </c>
      <c r="B25" s="7">
        <v>3949672</v>
      </c>
      <c r="C25" s="7">
        <v>58571156903</v>
      </c>
      <c r="D25" s="7">
        <v>74631534417</v>
      </c>
      <c r="E25" s="7">
        <v>641212</v>
      </c>
      <c r="F25" s="7">
        <v>11655983076</v>
      </c>
      <c r="G25" s="7">
        <v>815845</v>
      </c>
      <c r="H25" s="7">
        <v>12191262131</v>
      </c>
      <c r="I25" s="7">
        <f>Table1[[#This Row],[18683099]]-Table1[[#This Row],[1416491]]+Table1[[#This Row],[613628]]</f>
        <v>3775039</v>
      </c>
      <c r="J25" s="37">
        <v>17710</v>
      </c>
      <c r="K25" s="7">
        <f>Table1[[#This Row],[197712663702.0000]]-Table1[[#This Row],[14957392342]]+Table1[[#This Row],[6081028767]]</f>
        <v>58035877848</v>
      </c>
      <c r="L25" s="7">
        <v>66805130178</v>
      </c>
      <c r="M25" s="38">
        <f>(Table1[[#This Row],[202071777805.0000]]/Table1[[#This Row],[Column1]])*100</f>
        <v>8.264791489674099E-2</v>
      </c>
      <c r="N25" s="43">
        <v>80830992846541</v>
      </c>
    </row>
    <row r="26" spans="1:14" ht="23.1" customHeight="1" x14ac:dyDescent="0.55000000000000004">
      <c r="A26" s="6" t="s">
        <v>208</v>
      </c>
      <c r="B26" s="7">
        <v>573022</v>
      </c>
      <c r="C26" s="7">
        <v>20675022524</v>
      </c>
      <c r="D26" s="7">
        <v>24741462810</v>
      </c>
      <c r="E26" s="7">
        <v>318112</v>
      </c>
      <c r="F26" s="7">
        <v>9623719302</v>
      </c>
      <c r="G26" s="7">
        <v>649729</v>
      </c>
      <c r="H26" s="7">
        <f>17403948757+6055492289</f>
        <v>23459441046</v>
      </c>
      <c r="I26" s="7">
        <f>Table1[[#This Row],[18683099]]-Table1[[#This Row],[1416491]]+Table1[[#This Row],[613628]]</f>
        <v>241405</v>
      </c>
      <c r="J26" s="37">
        <v>28810</v>
      </c>
      <c r="K26" s="7">
        <f>Table1[[#This Row],[197712663702.0000]]-Table1[[#This Row],[14957392342]]+Table1[[#This Row],[6081028767]]</f>
        <v>6839300780</v>
      </c>
      <c r="L26" s="7">
        <v>6949592345</v>
      </c>
      <c r="M26" s="38">
        <f>(Table1[[#This Row],[202071777805.0000]]/Table1[[#This Row],[Column1]])*100</f>
        <v>8.5976827702635272E-3</v>
      </c>
      <c r="N26" s="43">
        <v>80830992846541</v>
      </c>
    </row>
    <row r="27" spans="1:14" ht="23.1" customHeight="1" x14ac:dyDescent="0.55000000000000004">
      <c r="A27" s="6" t="s">
        <v>209</v>
      </c>
      <c r="B27" s="7">
        <v>3264926</v>
      </c>
      <c r="C27" s="7">
        <v>152119280457</v>
      </c>
      <c r="D27" s="7">
        <v>154574627816</v>
      </c>
      <c r="E27" s="7">
        <v>682132</v>
      </c>
      <c r="F27" s="7">
        <v>32827333182</v>
      </c>
      <c r="G27" s="7">
        <v>1249068</v>
      </c>
      <c r="H27" s="7">
        <v>58298351415</v>
      </c>
      <c r="I27" s="7">
        <f>Table1[[#This Row],[18683099]]-Table1[[#This Row],[1416491]]+Table1[[#This Row],[613628]]</f>
        <v>2697990</v>
      </c>
      <c r="J27" s="37">
        <v>46900</v>
      </c>
      <c r="K27" s="7">
        <f>Table1[[#This Row],[197712663702.0000]]-Table1[[#This Row],[14957392342]]+Table1[[#This Row],[6081028767]]</f>
        <v>126648262224</v>
      </c>
      <c r="L27" s="7">
        <v>126439563847</v>
      </c>
      <c r="M27" s="38">
        <f>(Table1[[#This Row],[202071777805.0000]]/Table1[[#This Row],[Column1]])*100</f>
        <v>0.15642460817850851</v>
      </c>
      <c r="N27" s="43">
        <v>80830992846541</v>
      </c>
    </row>
    <row r="28" spans="1:14" ht="23.1" customHeight="1" x14ac:dyDescent="0.55000000000000004">
      <c r="A28" s="6" t="s">
        <v>210</v>
      </c>
      <c r="B28" s="7">
        <v>1983813</v>
      </c>
      <c r="C28" s="7">
        <v>74733570266</v>
      </c>
      <c r="D28" s="7">
        <v>86864618342</v>
      </c>
      <c r="E28" s="7">
        <v>396545</v>
      </c>
      <c r="F28" s="7">
        <v>17667494555</v>
      </c>
      <c r="G28" s="7">
        <v>1056180</v>
      </c>
      <c r="H28" s="7">
        <v>40764742313</v>
      </c>
      <c r="I28" s="7">
        <f>Table1[[#This Row],[18683099]]-Table1[[#This Row],[1416491]]+Table1[[#This Row],[613628]]</f>
        <v>1324178</v>
      </c>
      <c r="J28" s="37">
        <v>42510</v>
      </c>
      <c r="K28" s="7">
        <f>Table1[[#This Row],[197712663702.0000]]-Table1[[#This Row],[14957392342]]+Table1[[#This Row],[6081028767]]</f>
        <v>51636322508</v>
      </c>
      <c r="L28" s="7">
        <v>56248025770</v>
      </c>
      <c r="M28" s="38">
        <f>(Table1[[#This Row],[202071777805.0000]]/Table1[[#This Row],[Column1]])*100</f>
        <v>6.958720138052471E-2</v>
      </c>
      <c r="N28" s="43">
        <v>80830992846541</v>
      </c>
    </row>
    <row r="29" spans="1:14" ht="23.1" customHeight="1" x14ac:dyDescent="0.55000000000000004">
      <c r="A29" s="6" t="s">
        <v>211</v>
      </c>
      <c r="B29" s="7">
        <v>3063240</v>
      </c>
      <c r="C29" s="7">
        <v>283646807651</v>
      </c>
      <c r="D29" s="7">
        <v>309917333684</v>
      </c>
      <c r="E29" s="7">
        <v>653129</v>
      </c>
      <c r="F29" s="7">
        <v>63749017457</v>
      </c>
      <c r="G29" s="7">
        <v>160766</v>
      </c>
      <c r="H29" s="7">
        <v>14978623769</v>
      </c>
      <c r="I29" s="7">
        <f>Table1[[#This Row],[18683099]]-Table1[[#This Row],[1416491]]+Table1[[#This Row],[613628]]</f>
        <v>3555603</v>
      </c>
      <c r="J29" s="37">
        <v>98500</v>
      </c>
      <c r="K29" s="7">
        <f>Table1[[#This Row],[197712663702.0000]]-Table1[[#This Row],[14957392342]]+Table1[[#This Row],[6081028767]]</f>
        <v>332417201339</v>
      </c>
      <c r="L29" s="7">
        <v>349960723062</v>
      </c>
      <c r="M29" s="38">
        <f>(Table1[[#This Row],[202071777805.0000]]/Table1[[#This Row],[Column1]])*100</f>
        <v>0.43295363664084435</v>
      </c>
      <c r="N29" s="43">
        <v>80830992846541</v>
      </c>
    </row>
    <row r="30" spans="1:14" ht="23.1" customHeight="1" x14ac:dyDescent="0.55000000000000004">
      <c r="A30" s="6" t="s">
        <v>212</v>
      </c>
      <c r="B30" s="7">
        <v>4721258</v>
      </c>
      <c r="C30" s="7">
        <v>103246102601</v>
      </c>
      <c r="D30" s="7">
        <v>69066686517</v>
      </c>
      <c r="E30" s="7">
        <v>583853</v>
      </c>
      <c r="F30" s="7">
        <v>9315373377</v>
      </c>
      <c r="G30" s="7">
        <v>2661262</v>
      </c>
      <c r="H30" s="7">
        <v>56999396088</v>
      </c>
      <c r="I30" s="7">
        <f>Table1[[#This Row],[18683099]]-Table1[[#This Row],[1416491]]+Table1[[#This Row],[613628]]</f>
        <v>2643849</v>
      </c>
      <c r="J30" s="37">
        <v>18170</v>
      </c>
      <c r="K30" s="7">
        <f>Table1[[#This Row],[197712663702.0000]]-Table1[[#This Row],[14957392342]]+Table1[[#This Row],[6081028767]]</f>
        <v>55562079890</v>
      </c>
      <c r="L30" s="7">
        <v>48002226894</v>
      </c>
      <c r="M30" s="38">
        <f>(Table1[[#This Row],[202071777805.0000]]/Table1[[#This Row],[Column1]])*100</f>
        <v>5.9385917707497467E-2</v>
      </c>
      <c r="N30" s="43">
        <v>80830992846541</v>
      </c>
    </row>
    <row r="31" spans="1:14" ht="23.1" customHeight="1" x14ac:dyDescent="0.55000000000000004">
      <c r="A31" s="6" t="s">
        <v>213</v>
      </c>
      <c r="B31" s="7">
        <v>788877206</v>
      </c>
      <c r="C31" s="7">
        <v>10714250141304</v>
      </c>
      <c r="D31" s="7">
        <v>12241952049295</v>
      </c>
      <c r="E31" s="7">
        <v>834365</v>
      </c>
      <c r="F31" s="7">
        <v>13790700221</v>
      </c>
      <c r="G31" s="7">
        <v>32445929</v>
      </c>
      <c r="H31" s="7">
        <v>440673731173</v>
      </c>
      <c r="I31" s="7">
        <f>Table1[[#This Row],[18683099]]-Table1[[#This Row],[1416491]]+Table1[[#This Row],[613628]]</f>
        <v>757265642</v>
      </c>
      <c r="J31" s="37">
        <v>16860</v>
      </c>
      <c r="K31" s="7">
        <f>Table1[[#This Row],[197712663702.0000]]-Table1[[#This Row],[14957392342]]+Table1[[#This Row],[6081028767]]</f>
        <v>10287367110352</v>
      </c>
      <c r="L31" s="7">
        <v>12757795425093</v>
      </c>
      <c r="M31" s="38">
        <f>(Table1[[#This Row],[202071777805.0000]]/Table1[[#This Row],[Column1]])*100</f>
        <v>15.78329669822798</v>
      </c>
      <c r="N31" s="43">
        <v>80830992846541</v>
      </c>
    </row>
    <row r="32" spans="1:14" ht="23.1" customHeight="1" x14ac:dyDescent="0.55000000000000004">
      <c r="A32" s="6" t="s">
        <v>214</v>
      </c>
      <c r="B32" s="7">
        <v>17312318</v>
      </c>
      <c r="C32" s="7">
        <v>421418181265</v>
      </c>
      <c r="D32" s="7">
        <v>292701798002</v>
      </c>
      <c r="E32" s="7">
        <v>572369</v>
      </c>
      <c r="F32" s="7">
        <v>9684469069</v>
      </c>
      <c r="G32" s="7">
        <v>2260121</v>
      </c>
      <c r="H32" s="7">
        <v>54777187704</v>
      </c>
      <c r="I32" s="7">
        <f>Table1[[#This Row],[18683099]]-Table1[[#This Row],[1416491]]+Table1[[#This Row],[613628]]</f>
        <v>15624566</v>
      </c>
      <c r="J32" s="37">
        <v>17800</v>
      </c>
      <c r="K32" s="7">
        <f>Table1[[#This Row],[197712663702.0000]]-Table1[[#This Row],[14957392342]]+Table1[[#This Row],[6081028767]]</f>
        <v>376325462630</v>
      </c>
      <c r="L32" s="7">
        <v>277905905674</v>
      </c>
      <c r="M32" s="38">
        <f>(Table1[[#This Row],[202071777805.0000]]/Table1[[#This Row],[Column1]])*100</f>
        <v>0.34381107529089622</v>
      </c>
      <c r="N32" s="43">
        <v>80830992846541</v>
      </c>
    </row>
    <row r="33" spans="1:14" ht="23.1" customHeight="1" x14ac:dyDescent="0.55000000000000004">
      <c r="A33" s="6" t="s">
        <v>215</v>
      </c>
      <c r="B33" s="7">
        <v>578107118</v>
      </c>
      <c r="C33" s="7">
        <v>5861277024360</v>
      </c>
      <c r="D33" s="7">
        <v>5476290332479</v>
      </c>
      <c r="E33" s="7">
        <v>1627784</v>
      </c>
      <c r="F33" s="7">
        <v>17415354352</v>
      </c>
      <c r="G33" s="7">
        <v>4929835</v>
      </c>
      <c r="H33" s="7">
        <v>49984097703</v>
      </c>
      <c r="I33" s="7">
        <f>Table1[[#This Row],[18683099]]-Table1[[#This Row],[1416491]]+Table1[[#This Row],[613628]]</f>
        <v>574805067</v>
      </c>
      <c r="J33" s="37">
        <v>11110</v>
      </c>
      <c r="K33" s="7">
        <f>Table1[[#This Row],[197712663702.0000]]-Table1[[#This Row],[14957392342]]+Table1[[#This Row],[6081028767]]</f>
        <v>5828708281009</v>
      </c>
      <c r="L33" s="7">
        <v>6381230870309</v>
      </c>
      <c r="M33" s="38">
        <f>(Table1[[#This Row],[202071777805.0000]]/Table1[[#This Row],[Column1]])*100</f>
        <v>7.8945348134271649</v>
      </c>
      <c r="N33" s="43">
        <v>80830992846541</v>
      </c>
    </row>
    <row r="34" spans="1:14" ht="23.1" customHeight="1" x14ac:dyDescent="0.55000000000000004">
      <c r="A34" s="6" t="s">
        <v>216</v>
      </c>
      <c r="B34" s="7">
        <v>1377737040</v>
      </c>
      <c r="C34" s="7">
        <v>6726885880736</v>
      </c>
      <c r="D34" s="7">
        <v>6126270321334</v>
      </c>
      <c r="E34" s="7">
        <v>1176508</v>
      </c>
      <c r="F34" s="7">
        <v>5645890306</v>
      </c>
      <c r="G34" s="7">
        <v>26002802</v>
      </c>
      <c r="H34" s="7">
        <v>126958028735</v>
      </c>
      <c r="I34" s="7">
        <f>Table1[[#This Row],[18683099]]-Table1[[#This Row],[1416491]]+Table1[[#This Row],[613628]]</f>
        <v>1352910746</v>
      </c>
      <c r="J34" s="37">
        <v>5020</v>
      </c>
      <c r="K34" s="7">
        <f>Table1[[#This Row],[197712663702.0000]]-Table1[[#This Row],[14957392342]]+Table1[[#This Row],[6081028767]]</f>
        <v>6605573742307</v>
      </c>
      <c r="L34" s="7">
        <v>6786450319845</v>
      </c>
      <c r="M34" s="38">
        <f>(Table1[[#This Row],[202071777805.0000]]/Table1[[#This Row],[Column1]])*100</f>
        <v>8.3958517405931037</v>
      </c>
      <c r="N34" s="43">
        <v>80830992846541</v>
      </c>
    </row>
    <row r="35" spans="1:14" ht="23.1" customHeight="1" x14ac:dyDescent="0.55000000000000004">
      <c r="A35" s="6" t="s">
        <v>217</v>
      </c>
      <c r="B35" s="7">
        <v>28747792</v>
      </c>
      <c r="C35" s="7">
        <v>505344998721</v>
      </c>
      <c r="D35" s="7">
        <v>462200433783</v>
      </c>
      <c r="E35" s="7">
        <v>450284</v>
      </c>
      <c r="F35" s="7">
        <v>7596121258</v>
      </c>
      <c r="G35" s="7">
        <v>1183995</v>
      </c>
      <c r="H35" s="7">
        <v>20796643408</v>
      </c>
      <c r="I35" s="7">
        <f>Table1[[#This Row],[18683099]]-Table1[[#This Row],[1416491]]+Table1[[#This Row],[613628]]</f>
        <v>28014081</v>
      </c>
      <c r="J35" s="37">
        <v>17770</v>
      </c>
      <c r="K35" s="7">
        <f>Table1[[#This Row],[197712663702.0000]]-Table1[[#This Row],[14957392342]]+Table1[[#This Row],[6081028767]]</f>
        <v>492144476571</v>
      </c>
      <c r="L35" s="7">
        <v>497431883605</v>
      </c>
      <c r="M35" s="38">
        <f>(Table1[[#This Row],[202071777805.0000]]/Table1[[#This Row],[Column1]])*100</f>
        <v>0.61539746833171138</v>
      </c>
      <c r="N35" s="43">
        <v>80830992846541</v>
      </c>
    </row>
    <row r="36" spans="1:14" ht="23.1" customHeight="1" x14ac:dyDescent="0.55000000000000004">
      <c r="A36" s="6" t="s">
        <v>218</v>
      </c>
      <c r="B36" s="7">
        <v>12060789</v>
      </c>
      <c r="C36" s="7">
        <v>355412066181</v>
      </c>
      <c r="D36" s="7">
        <v>358897326996</v>
      </c>
      <c r="E36" s="7">
        <v>380761</v>
      </c>
      <c r="F36" s="7">
        <v>11819006465</v>
      </c>
      <c r="G36" s="7">
        <v>1177420</v>
      </c>
      <c r="H36" s="7">
        <v>34705589073</v>
      </c>
      <c r="I36" s="7">
        <f>Table1[[#This Row],[18683099]]-Table1[[#This Row],[1416491]]+Table1[[#This Row],[613628]]</f>
        <v>11264130</v>
      </c>
      <c r="J36" s="37">
        <v>31390</v>
      </c>
      <c r="K36" s="7">
        <f>Table1[[#This Row],[197712663702.0000]]-Table1[[#This Row],[14957392342]]+Table1[[#This Row],[6081028767]]</f>
        <v>332525483573</v>
      </c>
      <c r="L36" s="7">
        <v>353312319114</v>
      </c>
      <c r="M36" s="38">
        <f>(Table1[[#This Row],[202071777805.0000]]/Table1[[#This Row],[Column1]])*100</f>
        <v>0.43710006109261751</v>
      </c>
      <c r="N36" s="43">
        <v>80830992846541</v>
      </c>
    </row>
    <row r="37" spans="1:14" ht="23.1" customHeight="1" x14ac:dyDescent="0.55000000000000004">
      <c r="A37" s="6" t="s">
        <v>219</v>
      </c>
      <c r="B37" s="7">
        <v>4001065</v>
      </c>
      <c r="C37" s="7">
        <v>102060155659</v>
      </c>
      <c r="D37" s="7">
        <v>103348925330</v>
      </c>
      <c r="E37" s="7">
        <v>266647</v>
      </c>
      <c r="F37" s="7">
        <v>8385490767</v>
      </c>
      <c r="G37" s="7">
        <v>1318066</v>
      </c>
      <c r="H37" s="7">
        <v>33712594058</v>
      </c>
      <c r="I37" s="7">
        <f>Table1[[#This Row],[18683099]]-Table1[[#This Row],[1416491]]+Table1[[#This Row],[613628]]</f>
        <v>2949646</v>
      </c>
      <c r="J37" s="37">
        <v>33550</v>
      </c>
      <c r="K37" s="7">
        <f>Table1[[#This Row],[197712663702.0000]]-Table1[[#This Row],[14957392342]]+Table1[[#This Row],[6081028767]]</f>
        <v>76733052368</v>
      </c>
      <c r="L37" s="7">
        <v>98885413232</v>
      </c>
      <c r="M37" s="38">
        <f>(Table1[[#This Row],[202071777805.0000]]/Table1[[#This Row],[Column1]])*100</f>
        <v>0.12233601215283303</v>
      </c>
      <c r="N37" s="43">
        <v>80830992846541</v>
      </c>
    </row>
    <row r="38" spans="1:14" ht="23.1" customHeight="1" x14ac:dyDescent="0.55000000000000004">
      <c r="A38" s="6" t="s">
        <v>220</v>
      </c>
      <c r="B38" s="7">
        <v>7041509</v>
      </c>
      <c r="C38" s="7">
        <v>281769087173</v>
      </c>
      <c r="D38" s="7">
        <v>189624443365</v>
      </c>
      <c r="E38" s="7">
        <v>357316</v>
      </c>
      <c r="F38" s="7">
        <v>11213514027</v>
      </c>
      <c r="G38" s="7">
        <v>660190</v>
      </c>
      <c r="H38" s="7">
        <v>26343999399</v>
      </c>
      <c r="I38" s="7">
        <f>Table1[[#This Row],[18683099]]-Table1[[#This Row],[1416491]]+Table1[[#This Row],[613628]]</f>
        <v>6738635</v>
      </c>
      <c r="J38" s="37">
        <v>32300</v>
      </c>
      <c r="K38" s="7">
        <f>Table1[[#This Row],[197712663702.0000]]-Table1[[#This Row],[14957392342]]+Table1[[#This Row],[6081028767]]</f>
        <v>266638601801</v>
      </c>
      <c r="L38" s="7">
        <v>217492490492</v>
      </c>
      <c r="M38" s="38">
        <f>(Table1[[#This Row],[202071777805.0000]]/Table1[[#This Row],[Column1]])*100</f>
        <v>0.26907066563553556</v>
      </c>
      <c r="N38" s="43">
        <v>80830992846541</v>
      </c>
    </row>
    <row r="39" spans="1:14" ht="23.1" customHeight="1" x14ac:dyDescent="0.55000000000000004">
      <c r="A39" s="6" t="s">
        <v>221</v>
      </c>
      <c r="B39" s="7">
        <v>5605280</v>
      </c>
      <c r="C39" s="7">
        <v>251668619586</v>
      </c>
      <c r="D39" s="7">
        <v>230257931678</v>
      </c>
      <c r="E39" s="7">
        <v>345144</v>
      </c>
      <c r="F39" s="7">
        <v>14875719158</v>
      </c>
      <c r="G39" s="7">
        <v>734630</v>
      </c>
      <c r="H39" s="7">
        <v>32909014328</v>
      </c>
      <c r="I39" s="7">
        <f>Table1[[#This Row],[18683099]]-Table1[[#This Row],[1416491]]+Table1[[#This Row],[613628]]</f>
        <v>5215794</v>
      </c>
      <c r="J39" s="37">
        <v>43510</v>
      </c>
      <c r="K39" s="7">
        <f>Table1[[#This Row],[197712663702.0000]]-Table1[[#This Row],[14957392342]]+Table1[[#This Row],[6081028767]]</f>
        <v>233635324416</v>
      </c>
      <c r="L39" s="7">
        <v>226766723154</v>
      </c>
      <c r="M39" s="38">
        <f>(Table1[[#This Row],[202071777805.0000]]/Table1[[#This Row],[Column1]])*100</f>
        <v>0.28054427536789067</v>
      </c>
      <c r="N39" s="43">
        <v>80830992846541</v>
      </c>
    </row>
    <row r="40" spans="1:14" ht="23.1" customHeight="1" x14ac:dyDescent="0.55000000000000004">
      <c r="A40" s="6" t="s">
        <v>222</v>
      </c>
      <c r="B40" s="7">
        <v>8325772</v>
      </c>
      <c r="C40" s="7">
        <v>131205874324</v>
      </c>
      <c r="D40" s="7">
        <v>138352360595</v>
      </c>
      <c r="E40" s="7">
        <v>1052506</v>
      </c>
      <c r="F40" s="7">
        <v>18043120329</v>
      </c>
      <c r="G40" s="7">
        <v>1214186</v>
      </c>
      <c r="H40" s="7">
        <v>19300330856</v>
      </c>
      <c r="I40" s="7">
        <f>Table1[[#This Row],[18683099]]-Table1[[#This Row],[1416491]]+Table1[[#This Row],[613628]]</f>
        <v>8164092</v>
      </c>
      <c r="J40" s="37">
        <v>18800</v>
      </c>
      <c r="K40" s="7">
        <f>Table1[[#This Row],[197712663702.0000]]-Table1[[#This Row],[14957392342]]+Table1[[#This Row],[6081028767]]</f>
        <v>129948663797</v>
      </c>
      <c r="L40" s="7">
        <v>153368281056</v>
      </c>
      <c r="M40" s="38">
        <f>(Table1[[#This Row],[202071777805.0000]]/Table1[[#This Row],[Column1]])*100</f>
        <v>0.18973944975186963</v>
      </c>
      <c r="N40" s="43">
        <v>80830992846541</v>
      </c>
    </row>
    <row r="41" spans="1:14" ht="23.1" customHeight="1" x14ac:dyDescent="0.55000000000000004">
      <c r="A41" s="6" t="s">
        <v>223</v>
      </c>
      <c r="B41" s="7">
        <v>140632721</v>
      </c>
      <c r="C41" s="7">
        <v>2170668670094</v>
      </c>
      <c r="D41" s="7">
        <v>2786627409821</v>
      </c>
      <c r="E41" s="7">
        <v>624428</v>
      </c>
      <c r="F41" s="7">
        <v>12751058855</v>
      </c>
      <c r="G41" s="7">
        <v>1468394</v>
      </c>
      <c r="H41" s="7">
        <v>22671455172</v>
      </c>
      <c r="I41" s="7">
        <f>Table1[[#This Row],[18683099]]-Table1[[#This Row],[1416491]]+Table1[[#This Row],[613628]]</f>
        <v>139788755</v>
      </c>
      <c r="J41" s="37">
        <v>20600</v>
      </c>
      <c r="K41" s="7">
        <f>Table1[[#This Row],[197712663702.0000]]-Table1[[#This Row],[14957392342]]+Table1[[#This Row],[6081028767]]</f>
        <v>2160748273777</v>
      </c>
      <c r="L41" s="7">
        <v>2877459820255</v>
      </c>
      <c r="M41" s="38">
        <f>(Table1[[#This Row],[202071777805.0000]]/Table1[[#This Row],[Column1]])*100</f>
        <v>3.5598471810409476</v>
      </c>
      <c r="N41" s="43">
        <v>80830992846541</v>
      </c>
    </row>
    <row r="42" spans="1:14" ht="23.1" customHeight="1" x14ac:dyDescent="0.55000000000000004">
      <c r="A42" s="6" t="s">
        <v>224</v>
      </c>
      <c r="B42" s="7">
        <v>19133595</v>
      </c>
      <c r="C42" s="7">
        <v>765386274800</v>
      </c>
      <c r="D42" s="7">
        <v>784837144857</v>
      </c>
      <c r="E42" s="7">
        <v>1033263</v>
      </c>
      <c r="F42" s="7">
        <v>46304874722</v>
      </c>
      <c r="G42" s="7">
        <v>1590601</v>
      </c>
      <c r="H42" s="7">
        <v>63675824846</v>
      </c>
      <c r="I42" s="7">
        <f>Table1[[#This Row],[18683099]]-Table1[[#This Row],[1416491]]+Table1[[#This Row],[613628]]</f>
        <v>18576257</v>
      </c>
      <c r="J42" s="37">
        <v>45450</v>
      </c>
      <c r="K42" s="7">
        <f>Table1[[#This Row],[197712663702.0000]]-Table1[[#This Row],[14957392342]]+Table1[[#This Row],[6081028767]]</f>
        <v>748015324676</v>
      </c>
      <c r="L42" s="7">
        <v>843649219582</v>
      </c>
      <c r="M42" s="38">
        <f>(Table1[[#This Row],[202071777805.0000]]/Table1[[#This Row],[Column1]])*100</f>
        <v>1.0437199765487011</v>
      </c>
      <c r="N42" s="43">
        <v>80830992846541</v>
      </c>
    </row>
    <row r="43" spans="1:14" ht="23.1" customHeight="1" x14ac:dyDescent="0.55000000000000004">
      <c r="A43" s="6" t="s">
        <v>225</v>
      </c>
      <c r="B43" s="7">
        <v>10437145</v>
      </c>
      <c r="C43" s="7">
        <v>410033992215</v>
      </c>
      <c r="D43" s="7">
        <v>512595807638</v>
      </c>
      <c r="E43" s="7">
        <v>144055</v>
      </c>
      <c r="F43" s="7">
        <v>7718121098</v>
      </c>
      <c r="G43" s="7">
        <v>1989109</v>
      </c>
      <c r="H43" s="7">
        <v>78274672399</v>
      </c>
      <c r="I43" s="7">
        <f>Table1[[#This Row],[18683099]]-Table1[[#This Row],[1416491]]+Table1[[#This Row],[613628]]</f>
        <v>8592091</v>
      </c>
      <c r="J43" s="37">
        <v>53850</v>
      </c>
      <c r="K43" s="7">
        <f>Table1[[#This Row],[197712663702.0000]]-Table1[[#This Row],[14957392342]]+Table1[[#This Row],[6081028767]]</f>
        <v>339477440914</v>
      </c>
      <c r="L43" s="7">
        <v>462332460437</v>
      </c>
      <c r="M43" s="38">
        <f>(Table1[[#This Row],[202071777805.0000]]/Table1[[#This Row],[Column1]])*100</f>
        <v>0.57197424422924747</v>
      </c>
      <c r="N43" s="43">
        <v>80830992846541</v>
      </c>
    </row>
    <row r="44" spans="1:14" ht="23.1" customHeight="1" x14ac:dyDescent="0.55000000000000004">
      <c r="A44" s="6" t="s">
        <v>226</v>
      </c>
      <c r="B44" s="7">
        <v>25497206</v>
      </c>
      <c r="C44" s="7">
        <v>394127277048</v>
      </c>
      <c r="D44" s="7">
        <v>212994643115</v>
      </c>
      <c r="E44" s="7">
        <v>1139072</v>
      </c>
      <c r="F44" s="7">
        <v>9730992493</v>
      </c>
      <c r="G44" s="7">
        <v>1970179</v>
      </c>
      <c r="H44" s="7">
        <v>30120119400</v>
      </c>
      <c r="I44" s="7">
        <f>Table1[[#This Row],[18683099]]-Table1[[#This Row],[1416491]]+Table1[[#This Row],[613628]]</f>
        <v>24666099</v>
      </c>
      <c r="J44" s="37">
        <v>8720</v>
      </c>
      <c r="K44" s="7">
        <f>Table1[[#This Row],[197712663702.0000]]-Table1[[#This Row],[14957392342]]+Table1[[#This Row],[6081028767]]</f>
        <v>373738150141</v>
      </c>
      <c r="L44" s="7">
        <v>214924916110</v>
      </c>
      <c r="M44" s="38">
        <f>(Table1[[#This Row],[202071777805.0000]]/Table1[[#This Row],[Column1]])*100</f>
        <v>0.26589419298367223</v>
      </c>
      <c r="N44" s="43">
        <v>80830992846541</v>
      </c>
    </row>
    <row r="45" spans="1:14" ht="23.1" customHeight="1" x14ac:dyDescent="0.55000000000000004">
      <c r="A45" s="6" t="s">
        <v>227</v>
      </c>
      <c r="B45" s="7">
        <v>40110566</v>
      </c>
      <c r="C45" s="7">
        <v>501090394450</v>
      </c>
      <c r="D45" s="7">
        <v>468936959051</v>
      </c>
      <c r="E45" s="7">
        <v>2546306</v>
      </c>
      <c r="F45" s="7">
        <v>35065784744</v>
      </c>
      <c r="G45" s="7">
        <v>4603694</v>
      </c>
      <c r="H45" s="7">
        <v>57433531917</v>
      </c>
      <c r="I45" s="7">
        <f>Table1[[#This Row],[18683099]]-Table1[[#This Row],[1416491]]+Table1[[#This Row],[613628]]</f>
        <v>38053178</v>
      </c>
      <c r="J45" s="37">
        <v>14640</v>
      </c>
      <c r="K45" s="7">
        <f>Table1[[#This Row],[197712663702.0000]]-Table1[[#This Row],[14957392342]]+Table1[[#This Row],[6081028767]]</f>
        <v>478722647277</v>
      </c>
      <c r="L45" s="7">
        <v>556675131044</v>
      </c>
      <c r="M45" s="38">
        <f>(Table1[[#This Row],[202071777805.0000]]/Table1[[#This Row],[Column1]])*100</f>
        <v>0.68869020587295904</v>
      </c>
      <c r="N45" s="43">
        <v>80830992846541</v>
      </c>
    </row>
    <row r="46" spans="1:14" ht="23.1" customHeight="1" x14ac:dyDescent="0.55000000000000004">
      <c r="A46" s="6" t="s">
        <v>228</v>
      </c>
      <c r="B46" s="7">
        <v>12000672</v>
      </c>
      <c r="C46" s="7">
        <v>253153674460</v>
      </c>
      <c r="D46" s="7">
        <v>166202903645</v>
      </c>
      <c r="E46" s="7">
        <v>395477</v>
      </c>
      <c r="F46" s="7">
        <v>5564717719</v>
      </c>
      <c r="G46" s="7">
        <v>927239</v>
      </c>
      <c r="H46" s="7">
        <v>19451259474</v>
      </c>
      <c r="I46" s="7">
        <f>Table1[[#This Row],[18683099]]-Table1[[#This Row],[1416491]]+Table1[[#This Row],[613628]]</f>
        <v>11468910</v>
      </c>
      <c r="J46" s="37">
        <v>14240</v>
      </c>
      <c r="K46" s="7">
        <f>Table1[[#This Row],[197712663702.0000]]-Table1[[#This Row],[14957392342]]+Table1[[#This Row],[6081028767]]</f>
        <v>239267132705</v>
      </c>
      <c r="L46" s="7">
        <v>163193157272</v>
      </c>
      <c r="M46" s="38">
        <f>(Table1[[#This Row],[202071777805.0000]]/Table1[[#This Row],[Column1]])*100</f>
        <v>0.20189428772924384</v>
      </c>
      <c r="N46" s="43">
        <v>80830992846541</v>
      </c>
    </row>
    <row r="47" spans="1:14" ht="23.1" customHeight="1" x14ac:dyDescent="0.55000000000000004">
      <c r="A47" s="6" t="s">
        <v>229</v>
      </c>
      <c r="B47" s="7">
        <v>3561526</v>
      </c>
      <c r="C47" s="7">
        <v>88632407148</v>
      </c>
      <c r="D47" s="7">
        <v>94486650832</v>
      </c>
      <c r="E47" s="7">
        <v>331635</v>
      </c>
      <c r="F47" s="7">
        <v>8369128118</v>
      </c>
      <c r="G47" s="7">
        <v>578822</v>
      </c>
      <c r="H47" s="7">
        <v>14430631605</v>
      </c>
      <c r="I47" s="7">
        <f>Table1[[#This Row],[18683099]]-Table1[[#This Row],[1416491]]+Table1[[#This Row],[613628]]</f>
        <v>3314339</v>
      </c>
      <c r="J47" s="37">
        <v>24860</v>
      </c>
      <c r="K47" s="7">
        <f>Table1[[#This Row],[197712663702.0000]]-Table1[[#This Row],[14957392342]]+Table1[[#This Row],[6081028767]]</f>
        <v>82570903661</v>
      </c>
      <c r="L47" s="7">
        <v>82331847747</v>
      </c>
      <c r="M47" s="38">
        <f>(Table1[[#This Row],[202071777805.0000]]/Table1[[#This Row],[Column1]])*100</f>
        <v>0.10185678147404227</v>
      </c>
      <c r="N47" s="43">
        <v>80830992846541</v>
      </c>
    </row>
    <row r="48" spans="1:14" ht="23.1" customHeight="1" x14ac:dyDescent="0.55000000000000004">
      <c r="A48" s="6" t="s">
        <v>230</v>
      </c>
      <c r="B48" s="7">
        <v>17511466</v>
      </c>
      <c r="C48" s="7">
        <v>185006338178</v>
      </c>
      <c r="D48" s="7">
        <v>183380688360</v>
      </c>
      <c r="E48" s="7">
        <v>4681210</v>
      </c>
      <c r="F48" s="7">
        <v>64038934757</v>
      </c>
      <c r="G48" s="7">
        <v>10918108</v>
      </c>
      <c r="H48" s="7">
        <v>116036870719</v>
      </c>
      <c r="I48" s="7">
        <f>Table1[[#This Row],[18683099]]-Table1[[#This Row],[1416491]]+Table1[[#This Row],[613628]]</f>
        <v>11274568</v>
      </c>
      <c r="J48" s="37">
        <v>13540</v>
      </c>
      <c r="K48" s="7">
        <f>Table1[[#This Row],[197712663702.0000]]-Table1[[#This Row],[14957392342]]+Table1[[#This Row],[6081028767]]</f>
        <v>133008402216</v>
      </c>
      <c r="L48" s="7">
        <v>152541630909</v>
      </c>
      <c r="M48" s="38">
        <f>(Table1[[#This Row],[202071777805.0000]]/Table1[[#This Row],[Column1]])*100</f>
        <v>0.18871676016475866</v>
      </c>
      <c r="N48" s="43">
        <v>80830992846541</v>
      </c>
    </row>
    <row r="49" spans="1:14" ht="23.1" customHeight="1" x14ac:dyDescent="0.55000000000000004">
      <c r="A49" s="6" t="s">
        <v>231</v>
      </c>
      <c r="B49" s="7">
        <v>4518592</v>
      </c>
      <c r="C49" s="7">
        <v>135999646592</v>
      </c>
      <c r="D49" s="7">
        <v>140647167656</v>
      </c>
      <c r="E49" s="7">
        <v>333534</v>
      </c>
      <c r="F49" s="7">
        <v>11571423165</v>
      </c>
      <c r="G49" s="7">
        <v>855205</v>
      </c>
      <c r="H49" s="7">
        <v>25812477916</v>
      </c>
      <c r="I49" s="7">
        <f>Table1[[#This Row],[18683099]]-Table1[[#This Row],[1416491]]+Table1[[#This Row],[613628]]</f>
        <v>3996921</v>
      </c>
      <c r="J49" s="37">
        <v>35900</v>
      </c>
      <c r="K49" s="7">
        <f>Table1[[#This Row],[197712663702.0000]]-Table1[[#This Row],[14957392342]]+Table1[[#This Row],[6081028767]]</f>
        <v>121758591841</v>
      </c>
      <c r="L49" s="7">
        <v>143380411909</v>
      </c>
      <c r="M49" s="38">
        <f>(Table1[[#This Row],[202071777805.0000]]/Table1[[#This Row],[Column1]])*100</f>
        <v>0.17738296519654301</v>
      </c>
      <c r="N49" s="43">
        <v>80830992846541</v>
      </c>
    </row>
    <row r="50" spans="1:14" ht="23.1" customHeight="1" x14ac:dyDescent="0.55000000000000004">
      <c r="A50" s="6" t="s">
        <v>232</v>
      </c>
      <c r="B50" s="7">
        <v>1144673</v>
      </c>
      <c r="C50" s="7">
        <v>50754094877</v>
      </c>
      <c r="D50" s="7">
        <v>67827520780</v>
      </c>
      <c r="E50" s="7">
        <v>37853</v>
      </c>
      <c r="F50" s="7">
        <v>2137407766</v>
      </c>
      <c r="G50" s="7">
        <v>102117</v>
      </c>
      <c r="H50" s="7">
        <v>4543155620</v>
      </c>
      <c r="I50" s="7">
        <f>Table1[[#This Row],[18683099]]-Table1[[#This Row],[1416491]]+Table1[[#This Row],[613628]]</f>
        <v>1080409</v>
      </c>
      <c r="J50" s="37">
        <v>53900</v>
      </c>
      <c r="K50" s="7">
        <f>Table1[[#This Row],[197712663702.0000]]-Table1[[#This Row],[14957392342]]+Table1[[#This Row],[6081028767]]</f>
        <v>48348347023</v>
      </c>
      <c r="L50" s="7">
        <v>58189787227</v>
      </c>
      <c r="M50" s="38">
        <f>(Table1[[#This Row],[202071777805.0000]]/Table1[[#This Row],[Column1]])*100</f>
        <v>7.1989450058437723E-2</v>
      </c>
      <c r="N50" s="43">
        <v>80830992846541</v>
      </c>
    </row>
    <row r="51" spans="1:14" ht="23.1" customHeight="1" x14ac:dyDescent="0.55000000000000004">
      <c r="A51" s="6" t="s">
        <v>233</v>
      </c>
      <c r="B51" s="7">
        <v>7636087</v>
      </c>
      <c r="C51" s="7">
        <v>161439541542</v>
      </c>
      <c r="D51" s="7">
        <v>179387966825</v>
      </c>
      <c r="E51" s="7">
        <v>390353</v>
      </c>
      <c r="F51" s="7">
        <v>9516296258</v>
      </c>
      <c r="G51" s="7">
        <v>1813104</v>
      </c>
      <c r="H51" s="7">
        <v>38383914885</v>
      </c>
      <c r="I51" s="7">
        <f>Table1[[#This Row],[18683099]]-Table1[[#This Row],[1416491]]+Table1[[#This Row],[613628]]</f>
        <v>6213336</v>
      </c>
      <c r="J51" s="37">
        <v>24570</v>
      </c>
      <c r="K51" s="7">
        <f>Table1[[#This Row],[197712663702.0000]]-Table1[[#This Row],[14957392342]]+Table1[[#This Row],[6081028767]]</f>
        <v>132571922915</v>
      </c>
      <c r="L51" s="7">
        <v>152545642659</v>
      </c>
      <c r="M51" s="38">
        <f>(Table1[[#This Row],[202071777805.0000]]/Table1[[#This Row],[Column1]])*100</f>
        <v>0.18872172329815429</v>
      </c>
      <c r="N51" s="43">
        <v>80830992846541</v>
      </c>
    </row>
    <row r="52" spans="1:14" ht="23.1" customHeight="1" x14ac:dyDescent="0.55000000000000004">
      <c r="A52" s="6" t="s">
        <v>234</v>
      </c>
      <c r="B52" s="7">
        <v>18627566</v>
      </c>
      <c r="C52" s="7">
        <v>38659340696</v>
      </c>
      <c r="D52" s="7">
        <v>37282360515</v>
      </c>
      <c r="E52" s="7">
        <v>18268110</v>
      </c>
      <c r="F52" s="7">
        <v>44275128021</v>
      </c>
      <c r="G52" s="7">
        <v>21405804</v>
      </c>
      <c r="H52" s="7">
        <v>46055348793</v>
      </c>
      <c r="I52" s="7">
        <f>Table1[[#This Row],[18683099]]-Table1[[#This Row],[1416491]]+Table1[[#This Row],[613628]]</f>
        <v>15489872</v>
      </c>
      <c r="J52" s="37">
        <v>2342</v>
      </c>
      <c r="K52" s="7">
        <f>Table1[[#This Row],[197712663702.0000]]-Table1[[#This Row],[14957392342]]+Table1[[#This Row],[6081028767]]</f>
        <v>36879119924</v>
      </c>
      <c r="L52" s="7">
        <v>36249709495</v>
      </c>
      <c r="M52" s="38">
        <f>(Table1[[#This Row],[202071777805.0000]]/Table1[[#This Row],[Column1]])*100</f>
        <v>4.4846299938218849E-2</v>
      </c>
      <c r="N52" s="43">
        <v>80830992846541</v>
      </c>
    </row>
    <row r="53" spans="1:14" ht="23.1" customHeight="1" x14ac:dyDescent="0.55000000000000004">
      <c r="A53" s="6" t="s">
        <v>235</v>
      </c>
      <c r="B53" s="7">
        <v>79664496</v>
      </c>
      <c r="C53" s="7">
        <v>1667116175926</v>
      </c>
      <c r="D53" s="7">
        <v>1522823582309</v>
      </c>
      <c r="E53" s="7">
        <v>93394</v>
      </c>
      <c r="F53" s="7">
        <v>2137717676</v>
      </c>
      <c r="G53" s="7">
        <v>1017111</v>
      </c>
      <c r="H53" s="7">
        <v>21284829305</v>
      </c>
      <c r="I53" s="7">
        <f>Table1[[#This Row],[18683099]]-Table1[[#This Row],[1416491]]+Table1[[#This Row],[613628]]</f>
        <v>78740779</v>
      </c>
      <c r="J53" s="37">
        <v>22970</v>
      </c>
      <c r="K53" s="7">
        <f>Table1[[#This Row],[197712663702.0000]]-Table1[[#This Row],[14957392342]]+Table1[[#This Row],[6081028767]]</f>
        <v>1647969064297</v>
      </c>
      <c r="L53" s="7">
        <v>1807301100106</v>
      </c>
      <c r="M53" s="38">
        <f>(Table1[[#This Row],[202071777805.0000]]/Table1[[#This Row],[Column1]])*100</f>
        <v>2.2359011518480192</v>
      </c>
      <c r="N53" s="43">
        <v>80830992846541</v>
      </c>
    </row>
    <row r="54" spans="1:14" ht="23.1" customHeight="1" x14ac:dyDescent="0.55000000000000004">
      <c r="A54" s="6" t="s">
        <v>236</v>
      </c>
      <c r="B54" s="7">
        <v>1982021</v>
      </c>
      <c r="C54" s="7">
        <v>42754327311</v>
      </c>
      <c r="D54" s="7">
        <v>50206046736</v>
      </c>
      <c r="E54" s="7">
        <v>770653</v>
      </c>
      <c r="F54" s="7">
        <v>19667350737</v>
      </c>
      <c r="G54" s="7">
        <v>935739</v>
      </c>
      <c r="H54" s="7">
        <v>20963413540</v>
      </c>
      <c r="I54" s="7">
        <f>Table1[[#This Row],[18683099]]-Table1[[#This Row],[1416491]]+Table1[[#This Row],[613628]]</f>
        <v>1816935</v>
      </c>
      <c r="J54" s="37">
        <v>25560</v>
      </c>
      <c r="K54" s="7">
        <f>Table1[[#This Row],[197712663702.0000]]-Table1[[#This Row],[14957392342]]+Table1[[#This Row],[6081028767]]</f>
        <v>41458264508</v>
      </c>
      <c r="L54" s="7">
        <v>46405563550</v>
      </c>
      <c r="M54" s="38">
        <f>(Table1[[#This Row],[202071777805.0000]]/Table1[[#This Row],[Column1]])*100</f>
        <v>5.7410606891964991E-2</v>
      </c>
      <c r="N54" s="43">
        <v>80830992846541</v>
      </c>
    </row>
    <row r="55" spans="1:14" ht="23.1" customHeight="1" x14ac:dyDescent="0.55000000000000004">
      <c r="A55" s="6" t="s">
        <v>237</v>
      </c>
      <c r="B55" s="7">
        <v>14299391</v>
      </c>
      <c r="C55" s="7">
        <v>175128476020</v>
      </c>
      <c r="D55" s="7">
        <v>144795319062</v>
      </c>
      <c r="E55" s="7">
        <v>12553046</v>
      </c>
      <c r="F55" s="7">
        <v>10331212339</v>
      </c>
      <c r="G55" s="7">
        <v>13104803</v>
      </c>
      <c r="H55" s="7">
        <v>17676022895</v>
      </c>
      <c r="I55" s="7">
        <f>Table1[[#This Row],[18683099]]-Table1[[#This Row],[1416491]]+Table1[[#This Row],[613628]]</f>
        <v>13747634</v>
      </c>
      <c r="J55" s="37">
        <v>12090</v>
      </c>
      <c r="K55" s="7">
        <f>Table1[[#This Row],[197712663702.0000]]-Table1[[#This Row],[14957392342]]+Table1[[#This Row],[6081028767]]</f>
        <v>167783665464</v>
      </c>
      <c r="L55" s="7">
        <v>166082576303</v>
      </c>
      <c r="M55" s="38">
        <f>(Table1[[#This Row],[202071777805.0000]]/Table1[[#This Row],[Column1]])*100</f>
        <v>0.20546893023856649</v>
      </c>
      <c r="N55" s="43">
        <v>80830992846541</v>
      </c>
    </row>
    <row r="56" spans="1:14" ht="23.1" customHeight="1" x14ac:dyDescent="0.55000000000000004">
      <c r="A56" s="6" t="s">
        <v>238</v>
      </c>
      <c r="B56" s="7">
        <v>19907123</v>
      </c>
      <c r="C56" s="7">
        <v>620245579817</v>
      </c>
      <c r="D56" s="7">
        <v>599146846827</v>
      </c>
      <c r="E56" s="7">
        <v>43451</v>
      </c>
      <c r="F56" s="7">
        <v>1426078927</v>
      </c>
      <c r="G56" s="7">
        <v>488765</v>
      </c>
      <c r="H56" s="7">
        <v>15228547449</v>
      </c>
      <c r="I56" s="7">
        <f>Table1[[#This Row],[18683099]]-Table1[[#This Row],[1416491]]+Table1[[#This Row],[613628]]</f>
        <v>19461809</v>
      </c>
      <c r="J56" s="37">
        <v>34010</v>
      </c>
      <c r="K56" s="7">
        <f>Table1[[#This Row],[197712663702.0000]]-Table1[[#This Row],[14957392342]]+Table1[[#This Row],[6081028767]]</f>
        <v>606443111295</v>
      </c>
      <c r="L56" s="7">
        <v>661393083040</v>
      </c>
      <c r="M56" s="38">
        <f>(Table1[[#This Row],[202071777805.0000]]/Table1[[#This Row],[Column1]])*100</f>
        <v>0.81824193882619489</v>
      </c>
      <c r="N56" s="43">
        <v>80830992846541</v>
      </c>
    </row>
    <row r="57" spans="1:14" ht="23.1" customHeight="1" x14ac:dyDescent="0.55000000000000004">
      <c r="A57" s="6" t="s">
        <v>239</v>
      </c>
      <c r="B57" s="7">
        <v>584939</v>
      </c>
      <c r="C57" s="7">
        <v>109410434584</v>
      </c>
      <c r="D57" s="7">
        <v>55468522961</v>
      </c>
      <c r="E57" s="7">
        <v>193779</v>
      </c>
      <c r="F57" s="7">
        <v>19829678895</v>
      </c>
      <c r="G57" s="7">
        <v>309654</v>
      </c>
      <c r="H57" s="7">
        <v>54869604736</v>
      </c>
      <c r="I57" s="7">
        <f>Table1[[#This Row],[18683099]]-Table1[[#This Row],[1416491]]+Table1[[#This Row],[613628]]</f>
        <v>469064</v>
      </c>
      <c r="J57" s="37">
        <v>103200</v>
      </c>
      <c r="K57" s="7">
        <f>Table1[[#This Row],[197712663702.0000]]-Table1[[#This Row],[14957392342]]+Table1[[#This Row],[6081028767]]</f>
        <v>74370508743</v>
      </c>
      <c r="L57" s="7">
        <v>48370615175</v>
      </c>
      <c r="M57" s="38">
        <f>(Table1[[#This Row],[202071777805.0000]]/Table1[[#This Row],[Column1]])*100</f>
        <v>5.984166898312436E-2</v>
      </c>
      <c r="N57" s="43">
        <v>80830992846541</v>
      </c>
    </row>
    <row r="58" spans="1:14" ht="23.1" customHeight="1" x14ac:dyDescent="0.55000000000000004">
      <c r="A58" s="6" t="s">
        <v>240</v>
      </c>
      <c r="B58" s="7">
        <v>6304193</v>
      </c>
      <c r="C58" s="7">
        <v>150433364908</v>
      </c>
      <c r="D58" s="7">
        <v>150870673431</v>
      </c>
      <c r="E58" s="7">
        <v>873902</v>
      </c>
      <c r="F58" s="7">
        <v>22591270705</v>
      </c>
      <c r="G58" s="7">
        <v>1504438</v>
      </c>
      <c r="H58" s="7">
        <v>35957575662</v>
      </c>
      <c r="I58" s="7">
        <f>Table1[[#This Row],[18683099]]-Table1[[#This Row],[1416491]]+Table1[[#This Row],[613628]]</f>
        <v>5673657</v>
      </c>
      <c r="J58" s="37">
        <v>23750</v>
      </c>
      <c r="K58" s="7">
        <f>Table1[[#This Row],[197712663702.0000]]-Table1[[#This Row],[14957392342]]+Table1[[#This Row],[6081028767]]</f>
        <v>137067059951</v>
      </c>
      <c r="L58" s="7">
        <v>134646944245</v>
      </c>
      <c r="M58" s="38">
        <f>(Table1[[#This Row],[202071777805.0000]]/Table1[[#This Row],[Column1]])*100</f>
        <v>0.16657836246132654</v>
      </c>
      <c r="N58" s="43">
        <v>80830992846541</v>
      </c>
    </row>
    <row r="59" spans="1:14" ht="23.1" customHeight="1" x14ac:dyDescent="0.55000000000000004">
      <c r="A59" s="6" t="s">
        <v>241</v>
      </c>
      <c r="B59" s="7">
        <v>1822365</v>
      </c>
      <c r="C59" s="7">
        <v>21473266784</v>
      </c>
      <c r="D59" s="7">
        <v>19775842830</v>
      </c>
      <c r="E59" s="7">
        <v>1037540</v>
      </c>
      <c r="F59" s="7">
        <v>12565564944</v>
      </c>
      <c r="G59" s="7">
        <v>1948531</v>
      </c>
      <c r="H59" s="7">
        <v>23054218538</v>
      </c>
      <c r="I59" s="7">
        <f>Table1[[#This Row],[18683099]]-Table1[[#This Row],[1416491]]+Table1[[#This Row],[613628]]</f>
        <v>911374</v>
      </c>
      <c r="J59" s="37">
        <v>12580</v>
      </c>
      <c r="K59" s="7">
        <f>Table1[[#This Row],[197712663702.0000]]-Table1[[#This Row],[14957392342]]+Table1[[#This Row],[6081028767]]</f>
        <v>10984613190</v>
      </c>
      <c r="L59" s="7">
        <v>11456371457</v>
      </c>
      <c r="M59" s="38">
        <f>(Table1[[#This Row],[202071777805.0000]]/Table1[[#This Row],[Column1]])*100</f>
        <v>1.4173241047218255E-2</v>
      </c>
      <c r="N59" s="43">
        <v>80830992846541</v>
      </c>
    </row>
    <row r="60" spans="1:14" ht="23.1" customHeight="1" x14ac:dyDescent="0.55000000000000004">
      <c r="A60" s="6" t="s">
        <v>242</v>
      </c>
      <c r="B60" s="7">
        <v>1451826</v>
      </c>
      <c r="C60" s="7">
        <v>46774444826</v>
      </c>
      <c r="D60" s="7">
        <v>55127459268</v>
      </c>
      <c r="E60" s="7">
        <v>67878</v>
      </c>
      <c r="F60" s="7">
        <v>2651915150</v>
      </c>
      <c r="G60" s="7">
        <v>220096</v>
      </c>
      <c r="H60" s="7">
        <v>7107261432</v>
      </c>
      <c r="I60" s="7">
        <f>Table1[[#This Row],[18683099]]-Table1[[#This Row],[1416491]]+Table1[[#This Row],[613628]]</f>
        <v>1299608</v>
      </c>
      <c r="J60" s="37">
        <v>38550</v>
      </c>
      <c r="K60" s="7">
        <f>Table1[[#This Row],[197712663702.0000]]-Table1[[#This Row],[14957392342]]+Table1[[#This Row],[6081028767]]</f>
        <v>42319098544</v>
      </c>
      <c r="L60" s="7">
        <v>50061812487</v>
      </c>
      <c r="M60" s="38">
        <f>(Table1[[#This Row],[202071777805.0000]]/Table1[[#This Row],[Column1]])*100</f>
        <v>6.1933932423721673E-2</v>
      </c>
      <c r="N60" s="43">
        <v>80830992846541</v>
      </c>
    </row>
    <row r="61" spans="1:14" ht="23.1" customHeight="1" x14ac:dyDescent="0.55000000000000004">
      <c r="A61" s="6" t="s">
        <v>243</v>
      </c>
      <c r="B61" s="7">
        <v>4264766</v>
      </c>
      <c r="C61" s="7">
        <v>111390776465</v>
      </c>
      <c r="D61" s="7">
        <v>147661833555</v>
      </c>
      <c r="E61" s="7">
        <v>281934</v>
      </c>
      <c r="F61" s="7">
        <v>9762666392</v>
      </c>
      <c r="G61" s="7">
        <v>917775</v>
      </c>
      <c r="H61" s="7">
        <v>24242428892</v>
      </c>
      <c r="I61" s="7">
        <f>Table1[[#This Row],[18683099]]-Table1[[#This Row],[1416491]]+Table1[[#This Row],[613628]]</f>
        <v>3628925</v>
      </c>
      <c r="J61" s="37">
        <v>34510</v>
      </c>
      <c r="K61" s="7">
        <f>Table1[[#This Row],[197712663702.0000]]-Table1[[#This Row],[14957392342]]+Table1[[#This Row],[6081028767]]</f>
        <v>96911013965</v>
      </c>
      <c r="L61" s="7">
        <v>125139023760</v>
      </c>
      <c r="M61" s="38">
        <f>(Table1[[#This Row],[202071777805.0000]]/Table1[[#This Row],[Column1]])*100</f>
        <v>0.15481564602030626</v>
      </c>
      <c r="N61" s="43">
        <v>80830992846541</v>
      </c>
    </row>
    <row r="62" spans="1:14" ht="23.1" customHeight="1" x14ac:dyDescent="0.55000000000000004">
      <c r="A62" s="6" t="s">
        <v>244</v>
      </c>
      <c r="B62" s="7">
        <v>9631016</v>
      </c>
      <c r="C62" s="7">
        <v>993417062645</v>
      </c>
      <c r="D62" s="7">
        <v>598882628705</v>
      </c>
      <c r="E62" s="7">
        <v>317138</v>
      </c>
      <c r="F62" s="7">
        <v>23839164260</v>
      </c>
      <c r="G62" s="7">
        <v>951138</v>
      </c>
      <c r="H62" s="7">
        <v>97937249197</v>
      </c>
      <c r="I62" s="7">
        <f>Table1[[#This Row],[18683099]]-Table1[[#This Row],[1416491]]+Table1[[#This Row],[613628]]</f>
        <v>8997016</v>
      </c>
      <c r="J62" s="37">
        <v>73563</v>
      </c>
      <c r="K62" s="7">
        <f>Table1[[#This Row],[197712663702.0000]]-Table1[[#This Row],[14957392342]]+Table1[[#This Row],[6081028767]]</f>
        <v>919318977708</v>
      </c>
      <c r="L62" s="7">
        <v>661344483921</v>
      </c>
      <c r="M62" s="38">
        <f>(Table1[[#This Row],[202071777805.0000]]/Table1[[#This Row],[Column1]])*100</f>
        <v>0.81818181446388216</v>
      </c>
      <c r="N62" s="43">
        <v>80830992846541</v>
      </c>
    </row>
    <row r="63" spans="1:14" ht="23.1" customHeight="1" x14ac:dyDescent="0.55000000000000004">
      <c r="A63" s="6" t="s">
        <v>245</v>
      </c>
      <c r="B63" s="7">
        <v>120258428</v>
      </c>
      <c r="C63" s="7">
        <v>1538834290896</v>
      </c>
      <c r="D63" s="7">
        <v>1261753831749</v>
      </c>
      <c r="E63" s="7">
        <v>313829</v>
      </c>
      <c r="F63" s="7">
        <v>3630735933</v>
      </c>
      <c r="G63" s="7">
        <v>12778027</v>
      </c>
      <c r="H63" s="7">
        <v>163505464474</v>
      </c>
      <c r="I63" s="7">
        <f>Table1[[#This Row],[18683099]]-Table1[[#This Row],[1416491]]+Table1[[#This Row],[613628]]</f>
        <v>107794230</v>
      </c>
      <c r="J63" s="37">
        <v>11530</v>
      </c>
      <c r="K63" s="7">
        <f>Table1[[#This Row],[197712663702.0000]]-Table1[[#This Row],[14957392342]]+Table1[[#This Row],[6081028767]]</f>
        <v>1378959562355</v>
      </c>
      <c r="L63" s="7">
        <v>1241922892625</v>
      </c>
      <c r="M63" s="38">
        <f>(Table1[[#This Row],[202071777805.0000]]/Table1[[#This Row],[Column1]])*100</f>
        <v>1.5364439417227145</v>
      </c>
      <c r="N63" s="43">
        <v>80830992846541</v>
      </c>
    </row>
    <row r="64" spans="1:14" ht="23.1" customHeight="1" x14ac:dyDescent="0.55000000000000004">
      <c r="A64" s="6" t="s">
        <v>246</v>
      </c>
      <c r="B64" s="7">
        <v>1219022</v>
      </c>
      <c r="C64" s="7">
        <v>157934328751</v>
      </c>
      <c r="D64" s="7">
        <v>193920810493</v>
      </c>
      <c r="E64" s="7">
        <v>4167670</v>
      </c>
      <c r="F64" s="7">
        <v>11502975748</v>
      </c>
      <c r="G64" s="7">
        <v>608724</v>
      </c>
      <c r="H64" s="7">
        <v>79612028136</v>
      </c>
      <c r="I64" s="7">
        <f>Table1[[#This Row],[18683099]]-Table1[[#This Row],[1416491]]+Table1[[#This Row],[613628]]</f>
        <v>4777968</v>
      </c>
      <c r="J64" s="37">
        <v>24784</v>
      </c>
      <c r="K64" s="7">
        <f>Table1[[#This Row],[197712663702.0000]]-Table1[[#This Row],[14957392342]]+Table1[[#This Row],[6081028767]]</f>
        <v>89825276363</v>
      </c>
      <c r="L64" s="7">
        <v>118325553781</v>
      </c>
      <c r="M64" s="38">
        <f>(Table1[[#This Row],[202071777805.0000]]/Table1[[#This Row],[Column1]])*100</f>
        <v>0.14638636692938198</v>
      </c>
      <c r="N64" s="43">
        <v>80830992846541</v>
      </c>
    </row>
    <row r="65" spans="1:14" ht="23.1" customHeight="1" x14ac:dyDescent="0.55000000000000004">
      <c r="A65" s="6" t="s">
        <v>247</v>
      </c>
      <c r="B65" s="7">
        <v>15644863004</v>
      </c>
      <c r="C65" s="7">
        <v>15984401165007.002</v>
      </c>
      <c r="D65" s="7">
        <v>15961265339188.998</v>
      </c>
      <c r="E65" s="7">
        <v>119973835</v>
      </c>
      <c r="F65" s="7">
        <v>126208588529</v>
      </c>
      <c r="G65" s="7">
        <v>367158776</v>
      </c>
      <c r="H65" s="7">
        <v>375127168921</v>
      </c>
      <c r="I65" s="7">
        <f>Table1[[#This Row],[18683099]]-Table1[[#This Row],[1416491]]+Table1[[#This Row],[613628]]</f>
        <v>15397678063</v>
      </c>
      <c r="J65" s="37">
        <v>1040</v>
      </c>
      <c r="K65" s="7">
        <f>Table1[[#This Row],[197712663702.0000]]-Table1[[#This Row],[14957392342]]+Table1[[#This Row],[6081028767]]</f>
        <v>15735482584615.002</v>
      </c>
      <c r="L65" s="7">
        <v>16001414860783.002</v>
      </c>
      <c r="M65" s="38">
        <f>(Table1[[#This Row],[202071777805.0000]]/Table1[[#This Row],[Column1]])*100</f>
        <v>19.796137963023611</v>
      </c>
      <c r="N65" s="43">
        <v>80830992846541</v>
      </c>
    </row>
    <row r="66" spans="1:14" ht="23.1" customHeight="1" x14ac:dyDescent="0.55000000000000004">
      <c r="A66" s="6" t="s">
        <v>248</v>
      </c>
      <c r="B66" s="7">
        <v>0</v>
      </c>
      <c r="C66" s="7">
        <v>0</v>
      </c>
      <c r="D66" s="7">
        <v>0</v>
      </c>
      <c r="E66" s="7">
        <v>88779032</v>
      </c>
      <c r="F66" s="7">
        <v>1088405957185</v>
      </c>
      <c r="G66" s="7">
        <v>900000</v>
      </c>
      <c r="H66" s="7">
        <v>11033746814</v>
      </c>
      <c r="I66" s="7">
        <f>Table1[[#This Row],[18683099]]-Table1[[#This Row],[1416491]]+Table1[[#This Row],[613628]]</f>
        <v>87879032</v>
      </c>
      <c r="J66" s="37">
        <v>12860</v>
      </c>
      <c r="K66" s="7">
        <f>Table1[[#This Row],[197712663702.0000]]-Table1[[#This Row],[14957392342]]+Table1[[#This Row],[6081028767]]</f>
        <v>1077372210371</v>
      </c>
      <c r="L66" s="7">
        <v>1120179257230</v>
      </c>
      <c r="M66" s="38">
        <f>(Table1[[#This Row],[202071777805.0000]]/Table1[[#This Row],[Column1]])*100</f>
        <v>1.3858288977801858</v>
      </c>
      <c r="N66" s="43">
        <v>80830992846541</v>
      </c>
    </row>
    <row r="67" spans="1:14" ht="23.1" customHeight="1" x14ac:dyDescent="0.55000000000000004">
      <c r="A67" s="6" t="s">
        <v>249</v>
      </c>
      <c r="B67" s="7">
        <v>10717413</v>
      </c>
      <c r="C67" s="7">
        <v>870501386864</v>
      </c>
      <c r="D67" s="7">
        <v>1386743083038</v>
      </c>
      <c r="E67" s="7">
        <v>92766</v>
      </c>
      <c r="F67" s="7">
        <v>12021566584</v>
      </c>
      <c r="G67" s="7">
        <v>59444</v>
      </c>
      <c r="H67" s="7">
        <v>4835446978</v>
      </c>
      <c r="I67" s="7">
        <f>Table1[[#This Row],[18683099]]-Table1[[#This Row],[1416491]]+Table1[[#This Row],[613628]]</f>
        <v>10750735</v>
      </c>
      <c r="J67" s="37">
        <v>130400</v>
      </c>
      <c r="K67" s="7">
        <f>Table1[[#This Row],[197712663702.0000]]-Table1[[#This Row],[14957392342]]+Table1[[#This Row],[6081028767]]</f>
        <v>877687506470</v>
      </c>
      <c r="L67" s="7">
        <v>1400830403160</v>
      </c>
      <c r="M67" s="38">
        <f>(Table1[[#This Row],[202071777805.0000]]/Table1[[#This Row],[Column1]])*100</f>
        <v>1.7330362449209304</v>
      </c>
      <c r="N67" s="43">
        <v>80830992846541</v>
      </c>
    </row>
    <row r="68" spans="1:14" ht="23.1" customHeight="1" x14ac:dyDescent="0.55000000000000004">
      <c r="A68" s="6" t="s">
        <v>250</v>
      </c>
      <c r="B68" s="7">
        <v>16377099</v>
      </c>
      <c r="C68" s="7">
        <v>326682553173</v>
      </c>
      <c r="D68" s="7">
        <v>298982199437</v>
      </c>
      <c r="E68" s="7">
        <v>245365</v>
      </c>
      <c r="F68" s="7">
        <v>4816084725</v>
      </c>
      <c r="G68" s="7">
        <v>1139223</v>
      </c>
      <c r="H68" s="7">
        <v>22721470723</v>
      </c>
      <c r="I68" s="7">
        <f>Table1[[#This Row],[18683099]]-Table1[[#This Row],[1416491]]+Table1[[#This Row],[613628]]</f>
        <v>15483241</v>
      </c>
      <c r="J68" s="37">
        <v>19230</v>
      </c>
      <c r="K68" s="7">
        <f>Table1[[#This Row],[197712663702.0000]]-Table1[[#This Row],[14957392342]]+Table1[[#This Row],[6081028767]]</f>
        <v>308777167175</v>
      </c>
      <c r="L68" s="7">
        <v>297516439962</v>
      </c>
      <c r="M68" s="38">
        <f>(Table1[[#This Row],[202071777805.0000]]/Table1[[#This Row],[Column1]])*100</f>
        <v>0.3680722325492648</v>
      </c>
      <c r="N68" s="43">
        <v>80830992846541</v>
      </c>
    </row>
    <row r="69" spans="1:14" ht="23.1" customHeight="1" x14ac:dyDescent="0.55000000000000004">
      <c r="A69" s="6" t="s">
        <v>251</v>
      </c>
      <c r="B69" s="7">
        <v>19406657</v>
      </c>
      <c r="C69" s="7">
        <v>239869166265</v>
      </c>
      <c r="D69" s="7">
        <v>254615751264</v>
      </c>
      <c r="E69" s="7">
        <v>620748</v>
      </c>
      <c r="F69" s="7">
        <v>7992803188</v>
      </c>
      <c r="G69" s="7">
        <v>1104030</v>
      </c>
      <c r="H69" s="7">
        <v>13650207561</v>
      </c>
      <c r="I69" s="7">
        <f>Table1[[#This Row],[18683099]]-Table1[[#This Row],[1416491]]+Table1[[#This Row],[613628]]</f>
        <v>18923375</v>
      </c>
      <c r="J69" s="37">
        <v>12630</v>
      </c>
      <c r="K69" s="7">
        <f>Table1[[#This Row],[197712663702.0000]]-Table1[[#This Row],[14957392342]]+Table1[[#This Row],[6081028767]]</f>
        <v>234211761892</v>
      </c>
      <c r="L69" s="7">
        <v>238820584562</v>
      </c>
      <c r="M69" s="38">
        <f>(Table1[[#This Row],[202071777805.0000]]/Table1[[#This Row],[Column1]])*100</f>
        <v>0.29545670064378016</v>
      </c>
      <c r="N69" s="43">
        <v>80830992846541</v>
      </c>
    </row>
    <row r="70" spans="1:14" ht="23.1" customHeight="1" x14ac:dyDescent="0.55000000000000004">
      <c r="A70" s="6" t="s">
        <v>252</v>
      </c>
      <c r="B70" s="7">
        <v>5949367</v>
      </c>
      <c r="C70" s="7">
        <v>251774076114</v>
      </c>
      <c r="D70" s="7">
        <v>260681474350</v>
      </c>
      <c r="E70" s="7">
        <v>71663</v>
      </c>
      <c r="F70" s="7">
        <v>3282755077</v>
      </c>
      <c r="G70" s="7">
        <v>368000</v>
      </c>
      <c r="H70" s="7">
        <v>15574928990</v>
      </c>
      <c r="I70" s="7">
        <f>Table1[[#This Row],[18683099]]-Table1[[#This Row],[1416491]]+Table1[[#This Row],[613628]]</f>
        <v>5653030</v>
      </c>
      <c r="J70" s="37">
        <v>45220</v>
      </c>
      <c r="K70" s="7">
        <f>Table1[[#This Row],[197712663702.0000]]-Table1[[#This Row],[14957392342]]+Table1[[#This Row],[6081028767]]</f>
        <v>239481902201</v>
      </c>
      <c r="L70" s="7">
        <v>255435737790</v>
      </c>
      <c r="M70" s="38">
        <f>(Table1[[#This Row],[202071777805.0000]]/Table1[[#This Row],[Column1]])*100</f>
        <v>0.31601212455097399</v>
      </c>
      <c r="N70" s="43">
        <v>80830992846541</v>
      </c>
    </row>
    <row r="71" spans="1:14" ht="23.1" customHeight="1" x14ac:dyDescent="0.55000000000000004">
      <c r="A71" s="6" t="s">
        <v>253</v>
      </c>
      <c r="B71" s="7">
        <v>5796976</v>
      </c>
      <c r="C71" s="7">
        <v>603310574920</v>
      </c>
      <c r="D71" s="7">
        <v>508877300703</v>
      </c>
      <c r="E71" s="7">
        <v>234311</v>
      </c>
      <c r="F71" s="7">
        <v>22048796944</v>
      </c>
      <c r="G71" s="7">
        <v>1089815</v>
      </c>
      <c r="H71" s="7">
        <v>113219847681</v>
      </c>
      <c r="I71" s="7">
        <f>Table1[[#This Row],[18683099]]-Table1[[#This Row],[1416491]]+Table1[[#This Row],[613628]]</f>
        <v>4941472</v>
      </c>
      <c r="J71" s="37">
        <v>97750</v>
      </c>
      <c r="K71" s="7">
        <f>Table1[[#This Row],[197712663702.0000]]-Table1[[#This Row],[14957392342]]+Table1[[#This Row],[6081028767]]</f>
        <v>512139524183</v>
      </c>
      <c r="L71" s="7">
        <v>482661786048</v>
      </c>
      <c r="M71" s="38">
        <f>(Table1[[#This Row],[202071777805.0000]]/Table1[[#This Row],[Column1]])*100</f>
        <v>0.59712465361441436</v>
      </c>
      <c r="N71" s="43">
        <v>80830992846541</v>
      </c>
    </row>
    <row r="72" spans="1:14" ht="23.1" customHeight="1" x14ac:dyDescent="0.55000000000000004">
      <c r="A72" s="6" t="s">
        <v>254</v>
      </c>
      <c r="B72" s="7">
        <v>29035252</v>
      </c>
      <c r="C72" s="7">
        <v>86160447622</v>
      </c>
      <c r="D72" s="7">
        <v>85008632665</v>
      </c>
      <c r="E72" s="7">
        <v>3295694</v>
      </c>
      <c r="F72" s="7">
        <v>9819866652</v>
      </c>
      <c r="G72" s="7">
        <v>5446097</v>
      </c>
      <c r="H72" s="7">
        <v>16143001154</v>
      </c>
      <c r="I72" s="7">
        <f>Table1[[#This Row],[18683099]]-Table1[[#This Row],[1416491]]+Table1[[#This Row],[613628]]</f>
        <v>26884849</v>
      </c>
      <c r="J72" s="37">
        <v>3067</v>
      </c>
      <c r="K72" s="7">
        <f>Table1[[#This Row],[197712663702.0000]]-Table1[[#This Row],[14957392342]]+Table1[[#This Row],[6081028767]]</f>
        <v>79837313120</v>
      </c>
      <c r="L72" s="7">
        <v>82393165456</v>
      </c>
      <c r="M72" s="38">
        <f>(Table1[[#This Row],[202071777805.0000]]/Table1[[#This Row],[Column1]])*100</f>
        <v>0.10193264063009198</v>
      </c>
      <c r="N72" s="43">
        <v>80830992846541</v>
      </c>
    </row>
    <row r="73" spans="1:14" ht="23.1" customHeight="1" x14ac:dyDescent="0.55000000000000004">
      <c r="A73" s="6" t="s">
        <v>255</v>
      </c>
      <c r="B73" s="7">
        <v>3567875</v>
      </c>
      <c r="C73" s="7">
        <v>10638909306</v>
      </c>
      <c r="D73" s="7">
        <v>9925414949</v>
      </c>
      <c r="E73" s="7">
        <v>2380483</v>
      </c>
      <c r="F73" s="7">
        <v>7148321752</v>
      </c>
      <c r="G73" s="7">
        <v>5248358</v>
      </c>
      <c r="H73" s="7">
        <v>15523421838</v>
      </c>
      <c r="I73" s="7">
        <f>Table1[[#This Row],[18683099]]-Table1[[#This Row],[1416491]]+Table1[[#This Row],[613628]]</f>
        <v>700000</v>
      </c>
      <c r="J73" s="37">
        <v>3272</v>
      </c>
      <c r="K73" s="7">
        <f>Table1[[#This Row],[197712663702.0000]]-Table1[[#This Row],[14957392342]]+Table1[[#This Row],[6081028767]]</f>
        <v>2263809220</v>
      </c>
      <c r="L73" s="7">
        <v>2288659299</v>
      </c>
      <c r="M73" s="38">
        <f>(Table1[[#This Row],[202071777805.0000]]/Table1[[#This Row],[Column1]])*100</f>
        <v>2.8314130736276592E-3</v>
      </c>
      <c r="N73" s="43">
        <v>80830992846541</v>
      </c>
    </row>
    <row r="74" spans="1:14" ht="23.1" customHeight="1" x14ac:dyDescent="0.55000000000000004">
      <c r="A74" s="6" t="s">
        <v>256</v>
      </c>
      <c r="B74" s="7">
        <v>341979413</v>
      </c>
      <c r="C74" s="7">
        <v>737964406830</v>
      </c>
      <c r="D74" s="7">
        <v>885736966413</v>
      </c>
      <c r="E74" s="7">
        <v>5446882</v>
      </c>
      <c r="F74" s="7">
        <v>15459808005</v>
      </c>
      <c r="G74" s="7">
        <v>15652173</v>
      </c>
      <c r="H74" s="7">
        <v>33808890784</v>
      </c>
      <c r="I74" s="7">
        <f>Table1[[#This Row],[18683099]]-Table1[[#This Row],[1416491]]+Table1[[#This Row],[613628]]</f>
        <v>331774122</v>
      </c>
      <c r="J74" s="37">
        <v>1867</v>
      </c>
      <c r="K74" s="7">
        <f>Table1[[#This Row],[197712663702.0000]]-Table1[[#This Row],[14957392342]]+Table1[[#This Row],[6081028767]]</f>
        <v>719615324051</v>
      </c>
      <c r="L74" s="7">
        <v>618951524841</v>
      </c>
      <c r="M74" s="38">
        <f>(Table1[[#This Row],[202071777805.0000]]/Table1[[#This Row],[Column1]])*100</f>
        <v>0.76573539807446123</v>
      </c>
      <c r="N74" s="43">
        <v>80830992846541</v>
      </c>
    </row>
    <row r="75" spans="1:14" ht="23.1" customHeight="1" x14ac:dyDescent="0.55000000000000004">
      <c r="A75" s="6" t="s">
        <v>257</v>
      </c>
      <c r="B75" s="7">
        <v>26176520</v>
      </c>
      <c r="C75" s="7">
        <v>341586768958</v>
      </c>
      <c r="D75" s="7">
        <v>268366981170</v>
      </c>
      <c r="E75" s="7">
        <v>1232400</v>
      </c>
      <c r="F75" s="7">
        <v>14212511709</v>
      </c>
      <c r="G75" s="7">
        <v>4929057</v>
      </c>
      <c r="H75" s="7">
        <v>64133446120</v>
      </c>
      <c r="I75" s="7">
        <f>Table1[[#This Row],[18683099]]-Table1[[#This Row],[1416491]]+Table1[[#This Row],[613628]]</f>
        <v>22479863</v>
      </c>
      <c r="J75" s="37">
        <v>11510</v>
      </c>
      <c r="K75" s="7">
        <f>Table1[[#This Row],[197712663702.0000]]-Table1[[#This Row],[14957392342]]+Table1[[#This Row],[6081028767]]</f>
        <v>291665834547</v>
      </c>
      <c r="L75" s="7">
        <v>258546578283</v>
      </c>
      <c r="M75" s="38">
        <f>(Table1[[#This Row],[202071777805.0000]]/Table1[[#This Row],[Column1]])*100</f>
        <v>0.31986069844998072</v>
      </c>
      <c r="N75" s="43">
        <v>80830992846541</v>
      </c>
    </row>
    <row r="76" spans="1:14" ht="23.1" customHeight="1" x14ac:dyDescent="0.55000000000000004">
      <c r="A76" s="6" t="s">
        <v>258</v>
      </c>
      <c r="B76" s="7">
        <v>6621398</v>
      </c>
      <c r="C76" s="7">
        <v>214567420558</v>
      </c>
      <c r="D76" s="7">
        <v>207356902217</v>
      </c>
      <c r="E76" s="7">
        <v>169482</v>
      </c>
      <c r="F76" s="7">
        <v>5607320632</v>
      </c>
      <c r="G76" s="7">
        <v>1584828</v>
      </c>
      <c r="H76" s="7">
        <v>51353880369</v>
      </c>
      <c r="I76" s="7">
        <f>Table1[[#This Row],[18683099]]-Table1[[#This Row],[1416491]]+Table1[[#This Row],[613628]]</f>
        <v>5206052</v>
      </c>
      <c r="J76" s="37">
        <v>34450</v>
      </c>
      <c r="K76" s="7">
        <f>Table1[[#This Row],[197712663702.0000]]-Table1[[#This Row],[14957392342]]+Table1[[#This Row],[6081028767]]</f>
        <v>168820860821</v>
      </c>
      <c r="L76" s="7">
        <v>179212186551</v>
      </c>
      <c r="M76" s="38">
        <f>(Table1[[#This Row],[202071777805.0000]]/Table1[[#This Row],[Column1]])*100</f>
        <v>0.22171221735607943</v>
      </c>
      <c r="N76" s="43">
        <v>80830992846541</v>
      </c>
    </row>
    <row r="77" spans="1:14" ht="23.1" customHeight="1" x14ac:dyDescent="0.55000000000000004">
      <c r="A77" s="6" t="s">
        <v>259</v>
      </c>
      <c r="B77" s="7">
        <v>2618896</v>
      </c>
      <c r="C77" s="7">
        <v>13084416420</v>
      </c>
      <c r="D77" s="7">
        <v>13995211360</v>
      </c>
      <c r="E77" s="7">
        <v>6658422</v>
      </c>
      <c r="F77" s="7">
        <v>42211179849</v>
      </c>
      <c r="G77" s="7">
        <v>5000141</v>
      </c>
      <c r="H77" s="7">
        <v>28082893424</v>
      </c>
      <c r="I77" s="7">
        <f>Table1[[#This Row],[18683099]]-Table1[[#This Row],[1416491]]+Table1[[#This Row],[613628]]</f>
        <v>4277177</v>
      </c>
      <c r="J77" s="37">
        <v>6290</v>
      </c>
      <c r="K77" s="7">
        <f>Table1[[#This Row],[197712663702.0000]]-Table1[[#This Row],[14957392342]]+Table1[[#This Row],[6081028767]]</f>
        <v>27212702845</v>
      </c>
      <c r="L77" s="7">
        <v>26882996716</v>
      </c>
      <c r="M77" s="38">
        <f>(Table1[[#This Row],[202071777805.0000]]/Table1[[#This Row],[Column1]])*100</f>
        <v>3.3258278500967839E-2</v>
      </c>
      <c r="N77" s="43">
        <v>80830992846541</v>
      </c>
    </row>
    <row r="78" spans="1:14" ht="23.1" customHeight="1" x14ac:dyDescent="0.55000000000000004">
      <c r="A78" s="6" t="s">
        <v>260</v>
      </c>
      <c r="B78" s="7">
        <v>5417243</v>
      </c>
      <c r="C78" s="7">
        <v>131150789713</v>
      </c>
      <c r="D78" s="7">
        <v>130781121633</v>
      </c>
      <c r="E78" s="7">
        <v>656805</v>
      </c>
      <c r="F78" s="7">
        <v>17697336742</v>
      </c>
      <c r="G78" s="7">
        <v>1937374</v>
      </c>
      <c r="H78" s="7">
        <v>47028629120</v>
      </c>
      <c r="I78" s="7">
        <f>Table1[[#This Row],[18683099]]-Table1[[#This Row],[1416491]]+Table1[[#This Row],[613628]]</f>
        <v>4136674</v>
      </c>
      <c r="J78" s="37">
        <v>26690</v>
      </c>
      <c r="K78" s="7">
        <f>Table1[[#This Row],[197712663702.0000]]-Table1[[#This Row],[14957392342]]+Table1[[#This Row],[6081028767]]</f>
        <v>101819497335</v>
      </c>
      <c r="L78" s="7">
        <v>110323919114</v>
      </c>
      <c r="M78" s="38">
        <f>(Table1[[#This Row],[202071777805.0000]]/Table1[[#This Row],[Column1]])*100</f>
        <v>0.13648715081782037</v>
      </c>
      <c r="N78" s="43">
        <v>80830992846541</v>
      </c>
    </row>
    <row r="79" spans="1:14" ht="23.1" customHeight="1" x14ac:dyDescent="0.55000000000000004">
      <c r="A79" s="6" t="s">
        <v>261</v>
      </c>
      <c r="B79" s="7">
        <v>7341644</v>
      </c>
      <c r="C79" s="7">
        <v>185894547394</v>
      </c>
      <c r="D79" s="7">
        <v>225143814921</v>
      </c>
      <c r="E79" s="7">
        <v>106766</v>
      </c>
      <c r="F79" s="7">
        <v>3493369986</v>
      </c>
      <c r="G79" s="7">
        <v>325168</v>
      </c>
      <c r="H79" s="7">
        <v>8254400539</v>
      </c>
      <c r="I79" s="7">
        <f>Table1[[#This Row],[18683099]]-Table1[[#This Row],[1416491]]+Table1[[#This Row],[613628]]</f>
        <v>7123242</v>
      </c>
      <c r="J79" s="37">
        <v>33830</v>
      </c>
      <c r="K79" s="7">
        <f>Table1[[#This Row],[197712663702.0000]]-Table1[[#This Row],[14957392342]]+Table1[[#This Row],[6081028767]]</f>
        <v>181133516841</v>
      </c>
      <c r="L79" s="7">
        <v>240796132613</v>
      </c>
      <c r="M79" s="38">
        <f>(Table1[[#This Row],[202071777805.0000]]/Table1[[#This Row],[Column1]])*100</f>
        <v>0.29790074838021041</v>
      </c>
      <c r="N79" s="43">
        <v>80830992846541</v>
      </c>
    </row>
    <row r="80" spans="1:14" ht="23.1" customHeight="1" x14ac:dyDescent="0.55000000000000004">
      <c r="A80" s="6" t="s">
        <v>262</v>
      </c>
      <c r="B80" s="7">
        <v>3646550</v>
      </c>
      <c r="C80" s="7">
        <v>28226270138</v>
      </c>
      <c r="D80" s="7">
        <v>27182588523</v>
      </c>
      <c r="E80" s="7">
        <v>911450</v>
      </c>
      <c r="F80" s="7">
        <v>7568550847</v>
      </c>
      <c r="G80" s="7">
        <v>2225463</v>
      </c>
      <c r="H80" s="7">
        <v>17291249350</v>
      </c>
      <c r="I80" s="7">
        <f>Table1[[#This Row],[18683099]]-Table1[[#This Row],[1416491]]+Table1[[#This Row],[613628]]</f>
        <v>2332537</v>
      </c>
      <c r="J80" s="37">
        <v>8100</v>
      </c>
      <c r="K80" s="7">
        <f>Table1[[#This Row],[197712663702.0000]]-Table1[[#This Row],[14957392342]]+Table1[[#This Row],[6081028767]]</f>
        <v>18503571635</v>
      </c>
      <c r="L80" s="7">
        <v>18879190604</v>
      </c>
      <c r="M80" s="38">
        <f>(Table1[[#This Row],[202071777805.0000]]/Table1[[#This Row],[Column1]])*100</f>
        <v>2.3356375987911543E-2</v>
      </c>
      <c r="N80" s="43">
        <v>80830992846541</v>
      </c>
    </row>
    <row r="81" spans="1:14" ht="23.1" customHeight="1" x14ac:dyDescent="0.55000000000000004">
      <c r="A81" s="6" t="s">
        <v>263</v>
      </c>
      <c r="B81" s="7">
        <v>7565030</v>
      </c>
      <c r="C81" s="7">
        <v>170141112576</v>
      </c>
      <c r="D81" s="7">
        <v>183614925225</v>
      </c>
      <c r="E81" s="7">
        <v>727691</v>
      </c>
      <c r="F81" s="7">
        <v>16664848241</v>
      </c>
      <c r="G81" s="7">
        <v>579775</v>
      </c>
      <c r="H81" s="7">
        <v>13075614207</v>
      </c>
      <c r="I81" s="7">
        <f>Table1[[#This Row],[18683099]]-Table1[[#This Row],[1416491]]+Table1[[#This Row],[613628]]</f>
        <v>7712946</v>
      </c>
      <c r="J81" s="37">
        <v>21290</v>
      </c>
      <c r="K81" s="7">
        <f>Table1[[#This Row],[197712663702.0000]]-Table1[[#This Row],[14957392342]]+Table1[[#This Row],[6081028767]]</f>
        <v>173730346610</v>
      </c>
      <c r="L81" s="7">
        <v>164083821792</v>
      </c>
      <c r="M81" s="38">
        <f>(Table1[[#This Row],[202071777805.0000]]/Table1[[#This Row],[Column1]])*100</f>
        <v>0.20299617264817704</v>
      </c>
      <c r="N81" s="43">
        <v>80830992846541</v>
      </c>
    </row>
    <row r="82" spans="1:14" ht="23.1" customHeight="1" x14ac:dyDescent="0.55000000000000004">
      <c r="A82" s="6" t="s">
        <v>264</v>
      </c>
      <c r="B82" s="7">
        <v>26410</v>
      </c>
      <c r="C82" s="7">
        <v>1323977956</v>
      </c>
      <c r="D82" s="7">
        <v>1343775156</v>
      </c>
      <c r="E82" s="7">
        <v>140387</v>
      </c>
      <c r="F82" s="7">
        <v>7314466004</v>
      </c>
      <c r="G82" s="7">
        <v>163261</v>
      </c>
      <c r="H82" s="7">
        <v>8455156629</v>
      </c>
      <c r="I82" s="7">
        <f>Table1[[#This Row],[18683099]]-Table1[[#This Row],[1416491]]+Table1[[#This Row],[613628]]</f>
        <v>3536</v>
      </c>
      <c r="J82" s="37">
        <v>48336</v>
      </c>
      <c r="K82" s="7">
        <f>Table1[[#This Row],[197712663702.0000]]-Table1[[#This Row],[14957392342]]+Table1[[#This Row],[6081028767]]</f>
        <v>183287331</v>
      </c>
      <c r="L82" s="7">
        <v>170786205</v>
      </c>
      <c r="M82" s="38">
        <f>(Table1[[#This Row],[202071777805.0000]]/Table1[[#This Row],[Column1]])*100</f>
        <v>2.1128802082666544E-4</v>
      </c>
      <c r="N82" s="43">
        <v>80830992846541</v>
      </c>
    </row>
    <row r="83" spans="1:14" ht="23.1" customHeight="1" x14ac:dyDescent="0.55000000000000004">
      <c r="A83" s="6" t="s">
        <v>265</v>
      </c>
      <c r="B83" s="7">
        <v>19555</v>
      </c>
      <c r="C83" s="7">
        <v>1435907874</v>
      </c>
      <c r="D83" s="7">
        <v>1457303511</v>
      </c>
      <c r="E83" s="7">
        <v>281868</v>
      </c>
      <c r="F83" s="7">
        <v>19561015507</v>
      </c>
      <c r="G83" s="7">
        <v>137400</v>
      </c>
      <c r="H83" s="7">
        <v>9725179859</v>
      </c>
      <c r="I83" s="7">
        <f>Table1[[#This Row],[18683099]]-Table1[[#This Row],[1416491]]+Table1[[#This Row],[613628]]</f>
        <v>164023</v>
      </c>
      <c r="J83" s="37">
        <v>64610</v>
      </c>
      <c r="K83" s="7">
        <f>Table1[[#This Row],[197712663702.0000]]-Table1[[#This Row],[14957392342]]+Table1[[#This Row],[6081028767]]</f>
        <v>11271743522</v>
      </c>
      <c r="L83" s="7">
        <v>10589471913</v>
      </c>
      <c r="M83" s="38">
        <f>(Table1[[#This Row],[202071777805.0000]]/Table1[[#This Row],[Column1]])*100</f>
        <v>1.310075694987972E-2</v>
      </c>
      <c r="N83" s="43">
        <v>80830992846541</v>
      </c>
    </row>
    <row r="84" spans="1:14" ht="23.1" customHeight="1" x14ac:dyDescent="0.55000000000000004">
      <c r="A84" s="6" t="s">
        <v>266</v>
      </c>
      <c r="B84" s="7">
        <v>150627365</v>
      </c>
      <c r="C84" s="7">
        <v>1750642695720</v>
      </c>
      <c r="D84" s="7">
        <v>1876895715891</v>
      </c>
      <c r="E84" s="7">
        <v>60367</v>
      </c>
      <c r="F84" s="7">
        <v>749214649</v>
      </c>
      <c r="G84" s="7">
        <v>308907</v>
      </c>
      <c r="H84" s="7">
        <v>3590298270</v>
      </c>
      <c r="I84" s="7">
        <f>Table1[[#This Row],[18683099]]-Table1[[#This Row],[1416491]]+Table1[[#This Row],[613628]]</f>
        <v>150378825</v>
      </c>
      <c r="J84" s="37">
        <v>12330</v>
      </c>
      <c r="K84" s="7">
        <f>Table1[[#This Row],[197712663702.0000]]-Table1[[#This Row],[14957392342]]+Table1[[#This Row],[6081028767]]</f>
        <v>1747801612099</v>
      </c>
      <c r="L84" s="7">
        <v>1852761742361</v>
      </c>
      <c r="M84" s="38">
        <f>(Table1[[#This Row],[202071777805.0000]]/Table1[[#This Row],[Column1]])*100</f>
        <v>2.2921427500940132</v>
      </c>
      <c r="N84" s="43">
        <v>80830992846541</v>
      </c>
    </row>
    <row r="85" spans="1:14" ht="23.1" customHeight="1" x14ac:dyDescent="0.55000000000000004">
      <c r="A85" s="6" t="s">
        <v>267</v>
      </c>
      <c r="B85" s="7">
        <v>5528153</v>
      </c>
      <c r="C85" s="7">
        <v>513812475906</v>
      </c>
      <c r="D85" s="7">
        <v>536154742660</v>
      </c>
      <c r="E85" s="7">
        <v>365517</v>
      </c>
      <c r="F85" s="7">
        <v>34881865156</v>
      </c>
      <c r="G85" s="7">
        <v>28189</v>
      </c>
      <c r="H85" s="7">
        <v>2620720768</v>
      </c>
      <c r="I85" s="7">
        <f>Table1[[#This Row],[18683099]]-Table1[[#This Row],[1416491]]+Table1[[#This Row],[613628]]</f>
        <v>5865481</v>
      </c>
      <c r="J85" s="37">
        <v>94650</v>
      </c>
      <c r="K85" s="7">
        <f>Table1[[#This Row],[197712663702.0000]]-Table1[[#This Row],[14957392342]]+Table1[[#This Row],[6081028767]]</f>
        <v>546073620294</v>
      </c>
      <c r="L85" s="7">
        <v>554745849142</v>
      </c>
      <c r="M85" s="38">
        <f>(Table1[[#This Row],[202071777805.0000]]/Table1[[#This Row],[Column1]])*100</f>
        <v>0.68630339626681847</v>
      </c>
      <c r="N85" s="43">
        <v>80830992846541</v>
      </c>
    </row>
    <row r="86" spans="1:14" ht="23.1" customHeight="1" x14ac:dyDescent="0.55000000000000004">
      <c r="A86" s="6" t="s">
        <v>268</v>
      </c>
      <c r="B86" s="7">
        <v>6291591</v>
      </c>
      <c r="C86" s="7">
        <v>173349061657</v>
      </c>
      <c r="D86" s="7">
        <v>213122838353</v>
      </c>
      <c r="E86" s="7">
        <v>294884</v>
      </c>
      <c r="F86" s="7">
        <v>9926511777</v>
      </c>
      <c r="G86" s="7">
        <v>499206</v>
      </c>
      <c r="H86" s="7">
        <v>13801777954</v>
      </c>
      <c r="I86" s="7">
        <f>Table1[[#This Row],[18683099]]-Table1[[#This Row],[1416491]]+Table1[[#This Row],[613628]]</f>
        <v>6087269</v>
      </c>
      <c r="J86" s="37">
        <v>32900</v>
      </c>
      <c r="K86" s="7">
        <f>Table1[[#This Row],[197712663702.0000]]-Table1[[#This Row],[14957392342]]+Table1[[#This Row],[6081028767]]</f>
        <v>169473795480</v>
      </c>
      <c r="L86" s="7">
        <v>200118944029</v>
      </c>
      <c r="M86" s="38">
        <f>(Table1[[#This Row],[202071777805.0000]]/Table1[[#This Row],[Column1]])*100</f>
        <v>0.24757699612688067</v>
      </c>
      <c r="N86" s="43">
        <v>80830992846541</v>
      </c>
    </row>
    <row r="87" spans="1:14" ht="23.1" customHeight="1" x14ac:dyDescent="0.55000000000000004">
      <c r="A87" s="6" t="s">
        <v>269</v>
      </c>
      <c r="B87" s="7">
        <v>4010979</v>
      </c>
      <c r="C87" s="7">
        <v>43149063923</v>
      </c>
      <c r="D87" s="7">
        <v>37033279264</v>
      </c>
      <c r="E87" s="7">
        <v>369983</v>
      </c>
      <c r="F87" s="7">
        <v>3779749228</v>
      </c>
      <c r="G87" s="7">
        <v>518671</v>
      </c>
      <c r="H87" s="7">
        <v>5572051655</v>
      </c>
      <c r="I87" s="7">
        <f>Table1[[#This Row],[18683099]]-Table1[[#This Row],[1416491]]+Table1[[#This Row],[613628]]</f>
        <v>3862291</v>
      </c>
      <c r="J87" s="37">
        <v>9660</v>
      </c>
      <c r="K87" s="7">
        <f>Table1[[#This Row],[197712663702.0000]]-Table1[[#This Row],[14957392342]]+Table1[[#This Row],[6081028767]]</f>
        <v>41356761496</v>
      </c>
      <c r="L87" s="7">
        <v>37281375667</v>
      </c>
      <c r="M87" s="38">
        <f>(Table1[[#This Row],[202071777805.0000]]/Table1[[#This Row],[Column1]])*100</f>
        <v>4.6122624941375298E-2</v>
      </c>
      <c r="N87" s="43">
        <v>80830992846541</v>
      </c>
    </row>
    <row r="88" spans="1:14" ht="23.1" customHeight="1" x14ac:dyDescent="0.55000000000000004">
      <c r="A88" s="6" t="s">
        <v>270</v>
      </c>
      <c r="B88" s="7">
        <v>2919784</v>
      </c>
      <c r="C88" s="7">
        <v>65925839269</v>
      </c>
      <c r="D88" s="7">
        <v>79678699173</v>
      </c>
      <c r="E88" s="7">
        <v>422402</v>
      </c>
      <c r="F88" s="7">
        <v>11657285574</v>
      </c>
      <c r="G88" s="7">
        <v>495944</v>
      </c>
      <c r="H88" s="7">
        <v>11316963154</v>
      </c>
      <c r="I88" s="7">
        <f>Table1[[#This Row],[18683099]]-Table1[[#This Row],[1416491]]+Table1[[#This Row],[613628]]</f>
        <v>2846242</v>
      </c>
      <c r="J88" s="37">
        <v>27590</v>
      </c>
      <c r="K88" s="7">
        <f>Table1[[#This Row],[197712663702.0000]]-Table1[[#This Row],[14957392342]]+Table1[[#This Row],[6081028767]]</f>
        <v>66266161689</v>
      </c>
      <c r="L88" s="7">
        <v>78468135642</v>
      </c>
      <c r="M88" s="38">
        <f>(Table1[[#This Row],[202071777805.0000]]/Table1[[#This Row],[Column1]])*100</f>
        <v>9.7076793045178938E-2</v>
      </c>
      <c r="N88" s="43">
        <v>80830992846541</v>
      </c>
    </row>
    <row r="89" spans="1:14" ht="23.1" customHeight="1" x14ac:dyDescent="0.55000000000000004">
      <c r="A89" s="6" t="s">
        <v>271</v>
      </c>
      <c r="B89" s="7">
        <v>39830676</v>
      </c>
      <c r="C89" s="7">
        <v>281430925198</v>
      </c>
      <c r="D89" s="7">
        <v>257110614275</v>
      </c>
      <c r="E89" s="7">
        <v>2782438</v>
      </c>
      <c r="F89" s="7">
        <v>19084971957</v>
      </c>
      <c r="G89" s="7">
        <v>2675525</v>
      </c>
      <c r="H89" s="7">
        <v>18894564887</v>
      </c>
      <c r="I89" s="7">
        <f>Table1[[#This Row],[18683099]]-Table1[[#This Row],[1416491]]+Table1[[#This Row],[613628]]</f>
        <v>39937589</v>
      </c>
      <c r="J89" s="37">
        <v>5890</v>
      </c>
      <c r="K89" s="7">
        <f>Table1[[#This Row],[197712663702.0000]]-Table1[[#This Row],[14957392342]]+Table1[[#This Row],[6081028767]]</f>
        <v>281621332268</v>
      </c>
      <c r="L89" s="7">
        <v>235053622590</v>
      </c>
      <c r="M89" s="38">
        <f>(Table1[[#This Row],[202071777805.0000]]/Table1[[#This Row],[Column1]])*100</f>
        <v>0.29079640656678962</v>
      </c>
      <c r="N89" s="43">
        <v>80830992846541</v>
      </c>
    </row>
    <row r="90" spans="1:14" ht="23.1" customHeight="1" x14ac:dyDescent="0.55000000000000004">
      <c r="A90" s="6" t="s">
        <v>272</v>
      </c>
      <c r="B90" s="7">
        <v>931158026</v>
      </c>
      <c r="C90" s="7">
        <v>3615278337381</v>
      </c>
      <c r="D90" s="7">
        <v>3210053693359</v>
      </c>
      <c r="E90" s="7">
        <v>0</v>
      </c>
      <c r="F90" s="7">
        <v>0</v>
      </c>
      <c r="G90" s="7">
        <v>0</v>
      </c>
      <c r="H90" s="7">
        <v>0</v>
      </c>
      <c r="I90" s="7">
        <f>Table1[[#This Row],[18683099]]-Table1[[#This Row],[1416491]]+Table1[[#This Row],[613628]]</f>
        <v>931158026</v>
      </c>
      <c r="J90" s="37">
        <v>2419</v>
      </c>
      <c r="K90" s="7">
        <f>Table1[[#This Row],[197712663702.0000]]-Table1[[#This Row],[14957392342]]+Table1[[#This Row],[6081028767]]</f>
        <v>3615278337381</v>
      </c>
      <c r="L90" s="7">
        <v>2250759386735</v>
      </c>
      <c r="M90" s="38">
        <f>(Table1[[#This Row],[202071777805.0000]]/Table1[[#This Row],[Column1]])*100</f>
        <v>2.7845252266146288</v>
      </c>
      <c r="N90" s="43">
        <v>80830992846541</v>
      </c>
    </row>
    <row r="91" spans="1:14" ht="23.1" customHeight="1" x14ac:dyDescent="0.55000000000000004">
      <c r="A91" s="6" t="s">
        <v>273</v>
      </c>
      <c r="B91" s="7">
        <v>606785</v>
      </c>
      <c r="C91" s="7">
        <v>36741708230</v>
      </c>
      <c r="D91" s="7">
        <v>44613308401</v>
      </c>
      <c r="E91" s="7">
        <v>0</v>
      </c>
      <c r="F91" s="7">
        <v>0</v>
      </c>
      <c r="G91" s="7">
        <v>0</v>
      </c>
      <c r="H91" s="7">
        <v>0</v>
      </c>
      <c r="I91" s="7">
        <f>Table1[[#This Row],[18683099]]-Table1[[#This Row],[1416491]]+Table1[[#This Row],[613628]]</f>
        <v>606785</v>
      </c>
      <c r="J91" s="37">
        <v>51170</v>
      </c>
      <c r="K91" s="7">
        <f>Table1[[#This Row],[197712663702.0000]]-Table1[[#This Row],[14957392342]]+Table1[[#This Row],[6081028767]]</f>
        <v>36741708230</v>
      </c>
      <c r="L91" s="7">
        <v>31025591069</v>
      </c>
      <c r="M91" s="38">
        <f>(Table1[[#This Row],[202071777805.0000]]/Table1[[#This Row],[Column1]])*100</f>
        <v>3.8383285886272121E-2</v>
      </c>
      <c r="N91" s="43">
        <v>80830992846541</v>
      </c>
    </row>
    <row r="92" spans="1:14" ht="23.1" customHeight="1" x14ac:dyDescent="0.55000000000000004">
      <c r="A92" s="6" t="s">
        <v>274</v>
      </c>
      <c r="B92" s="7">
        <v>15118024</v>
      </c>
      <c r="C92" s="7">
        <v>16257671593</v>
      </c>
      <c r="D92" s="7">
        <v>15151612203</v>
      </c>
      <c r="E92" s="7">
        <v>0</v>
      </c>
      <c r="F92" s="7">
        <v>0</v>
      </c>
      <c r="G92" s="7">
        <v>0</v>
      </c>
      <c r="H92" s="7">
        <v>0</v>
      </c>
      <c r="I92" s="7">
        <f>Table1[[#This Row],[18683099]]-Table1[[#This Row],[1416491]]+Table1[[#This Row],[613628]]</f>
        <v>15118024</v>
      </c>
      <c r="J92" s="37">
        <v>1139</v>
      </c>
      <c r="K92" s="7">
        <f>Table1[[#This Row],[197712663702.0000]]-Table1[[#This Row],[14957392342]]+Table1[[#This Row],[6081028767]]</f>
        <v>16257671593</v>
      </c>
      <c r="L92" s="7">
        <v>17206342572</v>
      </c>
      <c r="M92" s="38">
        <f>(Table1[[#This Row],[202071777805.0000]]/Table1[[#This Row],[Column1]])*100</f>
        <v>2.1286813344810116E-2</v>
      </c>
      <c r="N92" s="43">
        <v>80830992846541</v>
      </c>
    </row>
    <row r="93" spans="1:14" ht="23.1" customHeight="1" x14ac:dyDescent="0.55000000000000004">
      <c r="A93" s="6" t="s">
        <v>275</v>
      </c>
      <c r="B93" s="7">
        <v>0</v>
      </c>
      <c r="C93" s="7">
        <v>0</v>
      </c>
      <c r="D93" s="7">
        <v>0</v>
      </c>
      <c r="E93" s="7">
        <v>244896</v>
      </c>
      <c r="F93" s="7">
        <v>6055492289</v>
      </c>
      <c r="G93" s="7">
        <v>0</v>
      </c>
      <c r="H93" s="7">
        <v>0</v>
      </c>
      <c r="I93" s="7">
        <f>Table1[[#This Row],[18683099]]-Table1[[#This Row],[1416491]]+Table1[[#This Row],[613628]]</f>
        <v>244896</v>
      </c>
      <c r="J93" s="37">
        <v>25440</v>
      </c>
      <c r="K93" s="7">
        <f>Table1[[#This Row],[197712663702.0000]]-Table1[[#This Row],[14957392342]]+Table1[[#This Row],[6081028767]]</f>
        <v>6055492289</v>
      </c>
      <c r="L93" s="7">
        <v>6225419327</v>
      </c>
      <c r="M93" s="38">
        <f>(Table1[[#This Row],[202071777805.0000]]/Table1[[#This Row],[Column1]])*100</f>
        <v>7.7017726836772424E-3</v>
      </c>
      <c r="N93" s="43">
        <v>80830992846541</v>
      </c>
    </row>
    <row r="94" spans="1:14" ht="23.1" customHeight="1" x14ac:dyDescent="0.55000000000000004">
      <c r="A94" s="6" t="s">
        <v>276</v>
      </c>
      <c r="B94" s="7">
        <v>87472155</v>
      </c>
      <c r="C94" s="7">
        <v>1936098345896</v>
      </c>
      <c r="D94" s="7">
        <v>1950643376789</v>
      </c>
      <c r="E94" s="7">
        <v>296231366</v>
      </c>
      <c r="F94" s="7">
        <v>6673420974235</v>
      </c>
      <c r="G94" s="7">
        <v>309230814</v>
      </c>
      <c r="H94" s="7">
        <v>6929687171357</v>
      </c>
      <c r="I94" s="7">
        <f>Table1[[#This Row],[18683099]]-Table1[[#This Row],[1416491]]+Table1[[#This Row],[613628]]</f>
        <v>74472707</v>
      </c>
      <c r="J94" s="37">
        <v>22682</v>
      </c>
      <c r="K94" s="7">
        <f>Table1[[#This Row],[197712663702.0000]]-Table1[[#This Row],[14957392342]]+Table1[[#This Row],[6081028767]]</f>
        <v>1679832148774</v>
      </c>
      <c r="L94" s="7">
        <v>1689126595555</v>
      </c>
      <c r="M94" s="38">
        <f>(Table1[[#This Row],[202071777805.0000]]/Table1[[#This Row],[Column1]])*100</f>
        <v>2.0897016553561767</v>
      </c>
      <c r="N94" s="43">
        <v>80830992846541</v>
      </c>
    </row>
    <row r="95" spans="1:14" ht="23.1" customHeight="1" thickBot="1" x14ac:dyDescent="0.6">
      <c r="A95" s="6" t="s">
        <v>178</v>
      </c>
      <c r="B95" s="7"/>
      <c r="C95" s="40">
        <f>SUM(C10:C94)</f>
        <v>69028543616727</v>
      </c>
      <c r="D95" s="40">
        <f>SUM(D10:D94)</f>
        <v>68738963825516</v>
      </c>
      <c r="E95" s="7"/>
      <c r="F95" s="40">
        <f>SUM(F10:F94)</f>
        <v>9048947501499</v>
      </c>
      <c r="G95" s="7"/>
      <c r="H95" s="40">
        <f>SUM(H10:H94)</f>
        <v>10618678728219</v>
      </c>
      <c r="I95" s="7"/>
      <c r="J95" s="6"/>
      <c r="K95" s="40">
        <f>SUM(K10:K94)</f>
        <v>67458812390007</v>
      </c>
      <c r="L95" s="40">
        <f>SUM(L10:L94)</f>
        <v>70685555163245</v>
      </c>
      <c r="M95" s="41">
        <f>SUM(M10:M94)</f>
        <v>87.448579652414679</v>
      </c>
    </row>
    <row r="96" spans="1:14" ht="23.1" customHeight="1" thickTop="1" x14ac:dyDescent="0.55000000000000004">
      <c r="A96" s="6" t="s">
        <v>179</v>
      </c>
      <c r="B96" s="7"/>
      <c r="C96" s="7"/>
      <c r="D96" s="7"/>
      <c r="E96" s="7"/>
      <c r="F96" s="7"/>
      <c r="G96" s="7"/>
      <c r="H96" s="7"/>
      <c r="I96" s="7"/>
      <c r="J96" s="6"/>
      <c r="K96" s="7"/>
      <c r="L96" s="7"/>
      <c r="M96" s="38"/>
    </row>
  </sheetData>
  <mergeCells count="19"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  <mergeCell ref="L8:L9"/>
    <mergeCell ref="J8:J9"/>
    <mergeCell ref="M8:M9"/>
  </mergeCells>
  <pageMargins left="0.7" right="0.7" top="0.75" bottom="0.75" header="0.3" footer="0.3"/>
  <pageSetup paperSize="9" scale="59" orientation="landscape" r:id="rId1"/>
  <headerFooter differentOddEven="1" differentFirst="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rightToLeft="1" view="pageBreakPreview" topLeftCell="B1" zoomScale="106" zoomScaleNormal="100" zoomScaleSheetLayoutView="106" workbookViewId="0">
      <selection activeCell="J22" sqref="J22"/>
    </sheetView>
  </sheetViews>
  <sheetFormatPr defaultRowHeight="20.25" x14ac:dyDescent="0.55000000000000004"/>
  <cols>
    <col min="1" max="1" width="28.85546875" style="35" bestFit="1" customWidth="1"/>
    <col min="2" max="2" width="11" style="35" customWidth="1"/>
    <col min="3" max="3" width="11.140625" style="35" customWidth="1"/>
    <col min="4" max="5" width="9.28515625" style="35" bestFit="1" customWidth="1"/>
    <col min="6" max="6" width="11.140625" style="35" bestFit="1" customWidth="1"/>
    <col min="7" max="7" width="5.140625" style="35" bestFit="1" customWidth="1"/>
    <col min="8" max="8" width="8.7109375" style="35" bestFit="1" customWidth="1"/>
    <col min="9" max="9" width="16.85546875" style="35" bestFit="1" customWidth="1"/>
    <col min="10" max="10" width="17" style="35" bestFit="1" customWidth="1"/>
    <col min="11" max="11" width="8.85546875" style="35" bestFit="1" customWidth="1"/>
    <col min="12" max="12" width="16.7109375" style="35" bestFit="1" customWidth="1"/>
    <col min="13" max="13" width="8.42578125" style="35" bestFit="1" customWidth="1"/>
    <col min="14" max="14" width="16.7109375" style="35" bestFit="1" customWidth="1"/>
    <col min="15" max="15" width="9" style="35" bestFit="1" customWidth="1"/>
    <col min="16" max="16" width="8.140625" style="35" bestFit="1" customWidth="1"/>
    <col min="17" max="17" width="16.7109375" style="35" bestFit="1" customWidth="1"/>
    <col min="18" max="18" width="17" style="35" bestFit="1" customWidth="1"/>
    <col min="19" max="19" width="6.42578125" style="42" customWidth="1"/>
    <col min="20" max="20" width="18.5703125" style="45" hidden="1" customWidth="1"/>
    <col min="21" max="16384" width="9.140625" style="34"/>
  </cols>
  <sheetData>
    <row r="1" spans="1:20" ht="25.5" x14ac:dyDescent="0.55000000000000004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20" ht="25.5" x14ac:dyDescent="0.55000000000000004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1:20" ht="25.5" x14ac:dyDescent="0.55000000000000004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20" ht="25.5" x14ac:dyDescent="0.55000000000000004">
      <c r="A4" s="80" t="s">
        <v>277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6" spans="1:20" ht="18" customHeight="1" thickBot="1" x14ac:dyDescent="0.6">
      <c r="A6" s="67" t="s">
        <v>278</v>
      </c>
      <c r="B6" s="67"/>
      <c r="C6" s="67"/>
      <c r="D6" s="67"/>
      <c r="E6" s="67"/>
      <c r="F6" s="67"/>
      <c r="G6" s="67"/>
      <c r="H6" s="67" t="s">
        <v>5</v>
      </c>
      <c r="I6" s="67"/>
      <c r="J6" s="67"/>
      <c r="K6" s="76" t="s">
        <v>6</v>
      </c>
      <c r="L6" s="76"/>
      <c r="M6" s="76"/>
      <c r="N6" s="76"/>
      <c r="O6" s="67" t="s">
        <v>7</v>
      </c>
      <c r="P6" s="67"/>
      <c r="Q6" s="67"/>
      <c r="R6" s="67"/>
      <c r="S6" s="67"/>
    </row>
    <row r="7" spans="1:20" ht="26.25" customHeight="1" x14ac:dyDescent="0.55000000000000004">
      <c r="A7" s="73" t="s">
        <v>279</v>
      </c>
      <c r="B7" s="77" t="s">
        <v>401</v>
      </c>
      <c r="C7" s="78" t="s">
        <v>406</v>
      </c>
      <c r="D7" s="69" t="s">
        <v>402</v>
      </c>
      <c r="E7" s="77" t="s">
        <v>403</v>
      </c>
      <c r="F7" s="78" t="s">
        <v>404</v>
      </c>
      <c r="G7" s="78" t="s">
        <v>405</v>
      </c>
      <c r="H7" s="68" t="s">
        <v>185</v>
      </c>
      <c r="I7" s="68" t="s">
        <v>186</v>
      </c>
      <c r="J7" s="68" t="s">
        <v>187</v>
      </c>
      <c r="K7" s="72" t="s">
        <v>188</v>
      </c>
      <c r="L7" s="72"/>
      <c r="M7" s="72" t="s">
        <v>189</v>
      </c>
      <c r="N7" s="72"/>
      <c r="O7" s="68" t="s">
        <v>185</v>
      </c>
      <c r="P7" s="69" t="s">
        <v>407</v>
      </c>
      <c r="Q7" s="68" t="s">
        <v>186</v>
      </c>
      <c r="R7" s="68" t="s">
        <v>187</v>
      </c>
      <c r="S7" s="70" t="s">
        <v>400</v>
      </c>
    </row>
    <row r="8" spans="1:20" s="35" customFormat="1" ht="40.5" customHeight="1" thickBot="1" x14ac:dyDescent="0.3">
      <c r="A8" s="67"/>
      <c r="B8" s="76"/>
      <c r="C8" s="76"/>
      <c r="D8" s="67"/>
      <c r="E8" s="76"/>
      <c r="F8" s="76"/>
      <c r="G8" s="76"/>
      <c r="H8" s="67"/>
      <c r="I8" s="67"/>
      <c r="J8" s="67"/>
      <c r="K8" s="26" t="s">
        <v>185</v>
      </c>
      <c r="L8" s="26" t="s">
        <v>190</v>
      </c>
      <c r="M8" s="26" t="s">
        <v>185</v>
      </c>
      <c r="N8" s="26" t="s">
        <v>191</v>
      </c>
      <c r="O8" s="67"/>
      <c r="P8" s="67"/>
      <c r="Q8" s="67"/>
      <c r="R8" s="67"/>
      <c r="S8" s="71"/>
      <c r="T8" s="46"/>
    </row>
    <row r="9" spans="1:20" ht="23.1" customHeight="1" x14ac:dyDescent="0.55000000000000004">
      <c r="A9" s="6" t="s">
        <v>281</v>
      </c>
      <c r="B9" s="6" t="s">
        <v>282</v>
      </c>
      <c r="C9" s="6" t="s">
        <v>282</v>
      </c>
      <c r="D9" s="7" t="s">
        <v>283</v>
      </c>
      <c r="E9" s="7" t="s">
        <v>284</v>
      </c>
      <c r="F9" s="37">
        <v>1000000</v>
      </c>
      <c r="G9" s="36">
        <v>17.899999999999999</v>
      </c>
      <c r="H9" s="7">
        <v>0</v>
      </c>
      <c r="I9" s="7">
        <v>0</v>
      </c>
      <c r="J9" s="7">
        <v>0</v>
      </c>
      <c r="K9" s="7">
        <v>1000000</v>
      </c>
      <c r="L9" s="7">
        <v>1000160000000</v>
      </c>
      <c r="M9" s="7">
        <v>0</v>
      </c>
      <c r="N9" s="7">
        <v>0</v>
      </c>
      <c r="O9" s="7">
        <v>1000000</v>
      </c>
      <c r="P9" s="37">
        <v>1000126</v>
      </c>
      <c r="Q9" s="7">
        <f>Table2[[#This Row],[Column9]]+Table2[[#This Row],[1000160000000]]-Table2[[#This Row],[Column14]]</f>
        <v>1000160000000</v>
      </c>
      <c r="R9" s="7">
        <v>999401240000</v>
      </c>
      <c r="S9" s="38">
        <f>(Table2[[#This Row],[999401240000]]/Table2[[#This Row],[Column1]])*100</f>
        <v>1.2364084676002682</v>
      </c>
      <c r="T9" s="45">
        <f>' سهام و صندوق‌های سرمایه‌گذاری'!N10</f>
        <v>80830992846541</v>
      </c>
    </row>
    <row r="10" spans="1:20" ht="23.1" customHeight="1" x14ac:dyDescent="0.55000000000000004">
      <c r="A10" s="6" t="s">
        <v>285</v>
      </c>
      <c r="B10" s="6" t="s">
        <v>282</v>
      </c>
      <c r="C10" s="6" t="s">
        <v>282</v>
      </c>
      <c r="D10" s="7" t="s">
        <v>286</v>
      </c>
      <c r="E10" s="7" t="s">
        <v>287</v>
      </c>
      <c r="F10" s="37">
        <v>1000000</v>
      </c>
      <c r="G10" s="36">
        <v>15</v>
      </c>
      <c r="H10" s="7">
        <v>39944</v>
      </c>
      <c r="I10" s="7">
        <v>39972959400</v>
      </c>
      <c r="J10" s="7">
        <v>39915040600</v>
      </c>
      <c r="K10" s="7">
        <v>0</v>
      </c>
      <c r="L10" s="7">
        <v>0</v>
      </c>
      <c r="M10" s="7">
        <v>0</v>
      </c>
      <c r="N10" s="7">
        <v>0</v>
      </c>
      <c r="O10" s="7">
        <v>39944</v>
      </c>
      <c r="P10" s="37">
        <v>930000</v>
      </c>
      <c r="Q10" s="7">
        <f>Table2[[#This Row],[Column9]]+Table2[[#This Row],[1000160000000]]-Table2[[#This Row],[Column14]]</f>
        <v>39972959400</v>
      </c>
      <c r="R10" s="7">
        <v>37120987759</v>
      </c>
      <c r="S10" s="38">
        <f>(Table2[[#This Row],[999401240000]]/Table2[[#This Row],[Column1]])*100</f>
        <v>4.5924201165603425E-2</v>
      </c>
      <c r="T10" s="45">
        <f>' سهام و صندوق‌های سرمایه‌گذاری'!N11</f>
        <v>80830992846541</v>
      </c>
    </row>
    <row r="11" spans="1:20" ht="23.1" customHeight="1" x14ac:dyDescent="0.55000000000000004">
      <c r="A11" s="6" t="s">
        <v>288</v>
      </c>
      <c r="B11" s="6" t="s">
        <v>282</v>
      </c>
      <c r="C11" s="6" t="s">
        <v>282</v>
      </c>
      <c r="D11" s="7" t="s">
        <v>289</v>
      </c>
      <c r="E11" s="7" t="s">
        <v>290</v>
      </c>
      <c r="F11" s="37">
        <v>1000000</v>
      </c>
      <c r="G11" s="36">
        <v>15</v>
      </c>
      <c r="H11" s="7">
        <v>30000</v>
      </c>
      <c r="I11" s="7">
        <v>30021750000</v>
      </c>
      <c r="J11" s="7">
        <v>29978250000</v>
      </c>
      <c r="K11" s="7">
        <v>0</v>
      </c>
      <c r="L11" s="7">
        <v>0</v>
      </c>
      <c r="M11" s="7">
        <v>0</v>
      </c>
      <c r="N11" s="7">
        <v>0</v>
      </c>
      <c r="O11" s="7">
        <v>30000</v>
      </c>
      <c r="P11" s="37">
        <v>1000000</v>
      </c>
      <c r="Q11" s="7">
        <f>Table2[[#This Row],[Column9]]+Table2[[#This Row],[1000160000000]]-Table2[[#This Row],[Column14]]</f>
        <v>30021750000</v>
      </c>
      <c r="R11" s="7">
        <v>29978250000</v>
      </c>
      <c r="S11" s="38">
        <f>(Table2[[#This Row],[999401240000]]/Table2[[#This Row],[Column1]])*100</f>
        <v>3.7087568696470438E-2</v>
      </c>
      <c r="T11" s="45">
        <f>' سهام و صندوق‌های سرمایه‌گذاری'!N12</f>
        <v>80830992846541</v>
      </c>
    </row>
    <row r="12" spans="1:20" ht="23.1" customHeight="1" x14ac:dyDescent="0.55000000000000004">
      <c r="A12" s="6" t="s">
        <v>291</v>
      </c>
      <c r="B12" s="6" t="s">
        <v>282</v>
      </c>
      <c r="C12" s="6" t="s">
        <v>282</v>
      </c>
      <c r="D12" s="7" t="s">
        <v>292</v>
      </c>
      <c r="E12" s="7" t="s">
        <v>293</v>
      </c>
      <c r="F12" s="37">
        <v>1000000</v>
      </c>
      <c r="G12" s="36">
        <v>18</v>
      </c>
      <c r="H12" s="7">
        <v>683000</v>
      </c>
      <c r="I12" s="7">
        <v>683495175000</v>
      </c>
      <c r="J12" s="7">
        <v>682511650062</v>
      </c>
      <c r="K12" s="7">
        <v>680000</v>
      </c>
      <c r="L12" s="7">
        <v>680493000000</v>
      </c>
      <c r="M12" s="7">
        <v>620000</v>
      </c>
      <c r="N12" s="7">
        <v>620449500000</v>
      </c>
      <c r="O12" s="7">
        <v>743000</v>
      </c>
      <c r="P12" s="37">
        <v>1000010</v>
      </c>
      <c r="Q12" s="7">
        <f>Table2[[#This Row],[Column9]]+Table2[[#This Row],[1000160000000]]-Table2[[#This Row],[Column14]]</f>
        <v>743538675000</v>
      </c>
      <c r="R12" s="7">
        <v>742468749629</v>
      </c>
      <c r="S12" s="38">
        <f>(Table2[[#This Row],[999401240000]]/Table2[[#This Row],[Column1]])*100</f>
        <v>0.91854463675658349</v>
      </c>
      <c r="T12" s="45">
        <f>' سهام و صندوق‌های سرمایه‌گذاری'!N13</f>
        <v>80830992846541</v>
      </c>
    </row>
    <row r="13" spans="1:20" ht="23.1" customHeight="1" x14ac:dyDescent="0.55000000000000004">
      <c r="A13" s="6" t="s">
        <v>294</v>
      </c>
      <c r="B13" s="6" t="s">
        <v>282</v>
      </c>
      <c r="C13" s="6" t="s">
        <v>282</v>
      </c>
      <c r="D13" s="7" t="s">
        <v>295</v>
      </c>
      <c r="E13" s="7" t="s">
        <v>296</v>
      </c>
      <c r="F13" s="37">
        <v>1000000</v>
      </c>
      <c r="G13" s="36">
        <v>18</v>
      </c>
      <c r="H13" s="7">
        <v>0</v>
      </c>
      <c r="I13" s="7">
        <v>0</v>
      </c>
      <c r="J13" s="7">
        <v>0</v>
      </c>
      <c r="K13" s="7">
        <v>1000000</v>
      </c>
      <c r="L13" s="7">
        <v>1000158749993</v>
      </c>
      <c r="M13" s="7">
        <v>70000</v>
      </c>
      <c r="N13" s="7">
        <v>70009379807</v>
      </c>
      <c r="O13" s="7">
        <v>930000</v>
      </c>
      <c r="P13" s="37">
        <v>1000000</v>
      </c>
      <c r="Q13" s="7">
        <f>Table2[[#This Row],[Column9]]+Table2[[#This Row],[1000160000000]]-Table2[[#This Row],[Column14]]</f>
        <v>930149370186</v>
      </c>
      <c r="R13" s="7">
        <v>929325750000</v>
      </c>
      <c r="S13" s="38">
        <f>(Table2[[#This Row],[999401240000]]/Table2[[#This Row],[Column1]])*100</f>
        <v>1.1497146295905836</v>
      </c>
      <c r="T13" s="45">
        <f>' سهام و صندوق‌های سرمایه‌گذاری'!N14</f>
        <v>80830992846541</v>
      </c>
    </row>
    <row r="14" spans="1:20" ht="23.1" customHeight="1" x14ac:dyDescent="0.55000000000000004">
      <c r="A14" s="6" t="s">
        <v>297</v>
      </c>
      <c r="B14" s="6" t="s">
        <v>282</v>
      </c>
      <c r="C14" s="6" t="s">
        <v>282</v>
      </c>
      <c r="D14" s="7" t="s">
        <v>298</v>
      </c>
      <c r="E14" s="7" t="s">
        <v>299</v>
      </c>
      <c r="F14" s="37">
        <v>1000000</v>
      </c>
      <c r="G14" s="36">
        <v>16</v>
      </c>
      <c r="H14" s="7">
        <v>1</v>
      </c>
      <c r="I14" s="7">
        <v>960696</v>
      </c>
      <c r="J14" s="7">
        <v>973296</v>
      </c>
      <c r="K14" s="7">
        <v>0</v>
      </c>
      <c r="L14" s="7">
        <v>0</v>
      </c>
      <c r="M14" s="7">
        <v>0</v>
      </c>
      <c r="N14" s="7">
        <v>0</v>
      </c>
      <c r="O14" s="7">
        <v>1</v>
      </c>
      <c r="P14" s="37">
        <v>974000</v>
      </c>
      <c r="Q14" s="7">
        <f>Table2[[#This Row],[Column9]]+Table2[[#This Row],[1000160000000]]-Table2[[#This Row],[Column14]]</f>
        <v>960696</v>
      </c>
      <c r="R14" s="7">
        <v>973296</v>
      </c>
      <c r="S14" s="38">
        <f>(Table2[[#This Row],[999401240000]]/Table2[[#This Row],[Column1]])*100</f>
        <v>1.2041123902162366E-6</v>
      </c>
      <c r="T14" s="45">
        <f>' سهام و صندوق‌های سرمایه‌گذاری'!N15</f>
        <v>80830992846541</v>
      </c>
    </row>
    <row r="15" spans="1:20" ht="23.1" customHeight="1" x14ac:dyDescent="0.55000000000000004">
      <c r="A15" s="6" t="s">
        <v>300</v>
      </c>
      <c r="B15" s="6" t="s">
        <v>282</v>
      </c>
      <c r="C15" s="6" t="s">
        <v>282</v>
      </c>
      <c r="D15" s="7" t="s">
        <v>301</v>
      </c>
      <c r="E15" s="7" t="s">
        <v>302</v>
      </c>
      <c r="F15" s="37">
        <v>1000000</v>
      </c>
      <c r="G15" s="36">
        <v>18</v>
      </c>
      <c r="H15" s="7">
        <v>4175871</v>
      </c>
      <c r="I15" s="7">
        <v>4176783421396</v>
      </c>
      <c r="J15" s="7">
        <v>4172873744255</v>
      </c>
      <c r="K15" s="7">
        <v>1142621</v>
      </c>
      <c r="L15" s="7">
        <v>1142650750030</v>
      </c>
      <c r="M15" s="7">
        <v>900000</v>
      </c>
      <c r="N15" s="7">
        <v>900060421190</v>
      </c>
      <c r="O15" s="7">
        <v>4418492</v>
      </c>
      <c r="P15" s="37">
        <v>1000000</v>
      </c>
      <c r="Q15" s="7">
        <f>Table2[[#This Row],[Column9]]+Table2[[#This Row],[1000160000000]]-Table2[[#This Row],[Column14]]</f>
        <v>4419373750236</v>
      </c>
      <c r="R15" s="7">
        <v>4415326225961</v>
      </c>
      <c r="S15" s="38">
        <f>(Table2[[#This Row],[999401240000]]/Table2[[#This Row],[Column1]])*100</f>
        <v>5.4624174100441536</v>
      </c>
      <c r="T15" s="45">
        <f>' سهام و صندوق‌های سرمایه‌گذاری'!N16</f>
        <v>80830992846541</v>
      </c>
    </row>
    <row r="16" spans="1:20" ht="23.1" customHeight="1" x14ac:dyDescent="0.55000000000000004">
      <c r="A16" s="6" t="s">
        <v>303</v>
      </c>
      <c r="B16" s="6" t="s">
        <v>282</v>
      </c>
      <c r="C16" s="6" t="s">
        <v>282</v>
      </c>
      <c r="D16" s="7" t="s">
        <v>304</v>
      </c>
      <c r="E16" s="7" t="s">
        <v>305</v>
      </c>
      <c r="F16" s="37">
        <v>1000000</v>
      </c>
      <c r="G16" s="36">
        <v>18</v>
      </c>
      <c r="H16" s="7">
        <v>130000</v>
      </c>
      <c r="I16" s="7">
        <v>130167000000</v>
      </c>
      <c r="J16" s="7">
        <v>129905750000</v>
      </c>
      <c r="K16" s="7">
        <v>0</v>
      </c>
      <c r="L16" s="7">
        <v>0</v>
      </c>
      <c r="M16" s="7">
        <v>130000</v>
      </c>
      <c r="N16" s="7">
        <v>130167000000</v>
      </c>
      <c r="O16" s="7">
        <v>0</v>
      </c>
      <c r="P16" s="6"/>
      <c r="Q16" s="7">
        <f>Table2[[#This Row],[Column9]]+Table2[[#This Row],[1000160000000]]-Table2[[#This Row],[Column14]]</f>
        <v>0</v>
      </c>
      <c r="R16" s="7">
        <v>0</v>
      </c>
      <c r="S16" s="38">
        <f>(Table2[[#This Row],[999401240000]]/Table2[[#This Row],[Column1]])*100</f>
        <v>0</v>
      </c>
      <c r="T16" s="45">
        <f>' سهام و صندوق‌های سرمایه‌گذاری'!N17</f>
        <v>80830992846541</v>
      </c>
    </row>
    <row r="17" spans="1:20" ht="23.1" customHeight="1" x14ac:dyDescent="0.55000000000000004">
      <c r="A17" s="6" t="s">
        <v>306</v>
      </c>
      <c r="B17" s="6" t="s">
        <v>282</v>
      </c>
      <c r="C17" s="6" t="s">
        <v>282</v>
      </c>
      <c r="D17" s="7" t="s">
        <v>307</v>
      </c>
      <c r="E17" s="7" t="s">
        <v>308</v>
      </c>
      <c r="F17" s="37">
        <v>1000000</v>
      </c>
      <c r="G17" s="36">
        <v>16</v>
      </c>
      <c r="H17" s="7">
        <v>833000</v>
      </c>
      <c r="I17" s="7">
        <v>799939927998</v>
      </c>
      <c r="J17" s="7">
        <v>787455010961</v>
      </c>
      <c r="K17" s="7">
        <v>0</v>
      </c>
      <c r="L17" s="7">
        <v>0</v>
      </c>
      <c r="M17" s="7">
        <v>833000</v>
      </c>
      <c r="N17" s="7">
        <v>799939927998</v>
      </c>
      <c r="O17" s="7">
        <v>0</v>
      </c>
      <c r="P17" s="6"/>
      <c r="Q17" s="7">
        <f>Table2[[#This Row],[Column9]]+Table2[[#This Row],[1000160000000]]-Table2[[#This Row],[Column14]]</f>
        <v>0</v>
      </c>
      <c r="R17" s="7">
        <v>0</v>
      </c>
      <c r="S17" s="38">
        <f>(Table2[[#This Row],[999401240000]]/Table2[[#This Row],[Column1]])*100</f>
        <v>0</v>
      </c>
      <c r="T17" s="45">
        <f>' سهام و صندوق‌های سرمایه‌گذاری'!N18</f>
        <v>80830992846541</v>
      </c>
    </row>
    <row r="18" spans="1:20" ht="23.1" customHeight="1" x14ac:dyDescent="0.55000000000000004">
      <c r="A18" s="6" t="s">
        <v>309</v>
      </c>
      <c r="B18" s="6" t="s">
        <v>282</v>
      </c>
      <c r="C18" s="6" t="s">
        <v>282</v>
      </c>
      <c r="D18" s="7" t="s">
        <v>310</v>
      </c>
      <c r="E18" s="7" t="s">
        <v>311</v>
      </c>
      <c r="F18" s="37">
        <v>1000000</v>
      </c>
      <c r="G18" s="36">
        <v>18</v>
      </c>
      <c r="H18" s="7">
        <v>320000</v>
      </c>
      <c r="I18" s="7">
        <v>320074400000</v>
      </c>
      <c r="J18" s="7">
        <v>319768000000</v>
      </c>
      <c r="K18" s="7">
        <v>850000</v>
      </c>
      <c r="L18" s="7">
        <v>850616250000</v>
      </c>
      <c r="M18" s="7">
        <v>580000</v>
      </c>
      <c r="N18" s="7">
        <v>580379556667</v>
      </c>
      <c r="O18" s="7">
        <v>590000</v>
      </c>
      <c r="P18" s="37">
        <v>1000000</v>
      </c>
      <c r="Q18" s="7">
        <f>Table2[[#This Row],[Column9]]+Table2[[#This Row],[1000160000000]]-Table2[[#This Row],[Column14]]</f>
        <v>590311093333</v>
      </c>
      <c r="R18" s="7">
        <v>589572250000</v>
      </c>
      <c r="S18" s="38">
        <f>(Table2[[#This Row],[999401240000]]/Table2[[#This Row],[Column1]])*100</f>
        <v>0.72938885103058537</v>
      </c>
      <c r="T18" s="45">
        <f>' سهام و صندوق‌های سرمایه‌گذاری'!N19</f>
        <v>80830992846541</v>
      </c>
    </row>
    <row r="19" spans="1:20" ht="23.1" customHeight="1" thickBot="1" x14ac:dyDescent="0.6">
      <c r="A19" s="6" t="s">
        <v>178</v>
      </c>
      <c r="B19" s="6"/>
      <c r="C19" s="6"/>
      <c r="D19" s="7"/>
      <c r="E19" s="7"/>
      <c r="F19" s="6"/>
      <c r="G19" s="6"/>
      <c r="H19" s="7"/>
      <c r="I19" s="40">
        <f>SUM(I9:I18)</f>
        <v>6180455594490</v>
      </c>
      <c r="J19" s="40">
        <f>SUM(J9:J18)</f>
        <v>6162408419174</v>
      </c>
      <c r="K19" s="7"/>
      <c r="L19" s="40">
        <f>SUM(L9:L18)</f>
        <v>4674078750023</v>
      </c>
      <c r="M19" s="7"/>
      <c r="N19" s="40">
        <f>SUM(N9:N18)</f>
        <v>3101005785662</v>
      </c>
      <c r="O19" s="7"/>
      <c r="P19" s="6"/>
      <c r="Q19" s="40">
        <f>SUM(Q9:Q18)</f>
        <v>7753528558851</v>
      </c>
      <c r="R19" s="40">
        <f>SUM(R9:R18)</f>
        <v>7743194426645</v>
      </c>
      <c r="S19" s="41">
        <f>SUM(S9:S18)</f>
        <v>9.5794869689966369</v>
      </c>
      <c r="T19" s="45">
        <f>' سهام و صندوق‌های سرمایه‌گذاری'!N20</f>
        <v>80830992846541</v>
      </c>
    </row>
    <row r="20" spans="1:20" ht="23.1" customHeight="1" thickTop="1" x14ac:dyDescent="0.55000000000000004">
      <c r="A20" s="15" t="s">
        <v>179</v>
      </c>
      <c r="B20" s="28"/>
      <c r="C20" s="28"/>
      <c r="D20" s="29"/>
      <c r="E20" s="29"/>
      <c r="F20" s="28"/>
      <c r="G20" s="28"/>
      <c r="H20" s="29"/>
      <c r="I20" s="29"/>
      <c r="J20" s="29"/>
      <c r="K20" s="29"/>
      <c r="L20" s="29"/>
      <c r="M20" s="29"/>
      <c r="N20" s="29"/>
      <c r="O20" s="29"/>
      <c r="P20" s="28"/>
      <c r="Q20" s="29"/>
      <c r="R20" s="29"/>
      <c r="S20" s="44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55" orientation="landscape" r:id="rId1"/>
  <headerFooter differentOddEven="1" differentFirst="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rightToLeft="1" view="pageBreakPreview" topLeftCell="A76" zoomScale="106" zoomScaleNormal="100" zoomScaleSheetLayoutView="106" workbookViewId="0">
      <selection activeCell="A40" sqref="A40:XFD40"/>
    </sheetView>
  </sheetViews>
  <sheetFormatPr defaultRowHeight="20.25" x14ac:dyDescent="0.55000000000000004"/>
  <cols>
    <col min="1" max="1" width="10.7109375" style="23" customWidth="1"/>
    <col min="2" max="2" width="9.85546875" style="23" customWidth="1"/>
    <col min="3" max="3" width="14.7109375" style="23" bestFit="1" customWidth="1"/>
    <col min="4" max="4" width="15.140625" style="23" customWidth="1"/>
    <col min="5" max="5" width="16.42578125" style="23" bestFit="1" customWidth="1"/>
    <col min="6" max="7" width="16.42578125" style="23" customWidth="1"/>
    <col min="8" max="8" width="23.7109375" style="39" customWidth="1"/>
    <col min="9" max="9" width="24" style="22" hidden="1" customWidth="1"/>
    <col min="10" max="16384" width="9.140625" style="22"/>
  </cols>
  <sheetData>
    <row r="1" spans="1:9" ht="25.5" x14ac:dyDescent="0.55000000000000004">
      <c r="A1" s="79" t="s">
        <v>0</v>
      </c>
      <c r="B1" s="79"/>
      <c r="C1" s="79"/>
      <c r="D1" s="79"/>
      <c r="E1" s="79"/>
      <c r="F1" s="79"/>
      <c r="G1" s="79"/>
      <c r="H1" s="79"/>
    </row>
    <row r="2" spans="1:9" ht="25.5" x14ac:dyDescent="0.55000000000000004">
      <c r="A2" s="79" t="s">
        <v>1</v>
      </c>
      <c r="B2" s="79"/>
      <c r="C2" s="79"/>
      <c r="D2" s="79"/>
      <c r="E2" s="79"/>
      <c r="F2" s="79"/>
      <c r="G2" s="79"/>
      <c r="H2" s="79"/>
    </row>
    <row r="3" spans="1:9" ht="25.5" x14ac:dyDescent="0.55000000000000004">
      <c r="A3" s="79" t="s">
        <v>2</v>
      </c>
      <c r="B3" s="79"/>
      <c r="C3" s="79"/>
      <c r="D3" s="79"/>
      <c r="E3" s="79"/>
      <c r="F3" s="79"/>
      <c r="G3" s="79"/>
      <c r="H3" s="79"/>
    </row>
    <row r="4" spans="1:9" ht="25.5" x14ac:dyDescent="0.55000000000000004">
      <c r="A4" s="80" t="s">
        <v>3</v>
      </c>
      <c r="B4" s="80"/>
      <c r="C4" s="80"/>
      <c r="D4" s="80"/>
      <c r="E4" s="80"/>
      <c r="F4" s="80"/>
      <c r="G4" s="80"/>
      <c r="H4" s="80"/>
    </row>
    <row r="5" spans="1:9" ht="21" thickBot="1" x14ac:dyDescent="0.6">
      <c r="B5" s="25"/>
      <c r="C5" s="25"/>
      <c r="D5" s="25"/>
      <c r="E5" s="25"/>
      <c r="F5" s="25"/>
      <c r="G5" s="25"/>
      <c r="H5" s="51"/>
    </row>
    <row r="6" spans="1:9" ht="18.75" customHeight="1" thickBot="1" x14ac:dyDescent="0.6">
      <c r="A6" s="32"/>
      <c r="B6" s="67" t="s">
        <v>4</v>
      </c>
      <c r="C6" s="67"/>
      <c r="D6" s="33" t="s">
        <v>5</v>
      </c>
      <c r="E6" s="76" t="s">
        <v>6</v>
      </c>
      <c r="F6" s="76"/>
      <c r="G6" s="67" t="s">
        <v>7</v>
      </c>
      <c r="H6" s="67"/>
    </row>
    <row r="7" spans="1:9" ht="24" customHeight="1" x14ac:dyDescent="0.55000000000000004">
      <c r="A7" s="73" t="s">
        <v>8</v>
      </c>
      <c r="B7" s="72" t="s">
        <v>9</v>
      </c>
      <c r="C7" s="72" t="s">
        <v>10</v>
      </c>
      <c r="D7" s="73" t="s">
        <v>12</v>
      </c>
      <c r="E7" s="74" t="s">
        <v>13</v>
      </c>
      <c r="F7" s="74" t="s">
        <v>14</v>
      </c>
      <c r="G7" s="68" t="s">
        <v>12</v>
      </c>
      <c r="H7" s="81" t="s">
        <v>15</v>
      </c>
    </row>
    <row r="8" spans="1:9" ht="29.25" customHeight="1" thickBot="1" x14ac:dyDescent="0.6">
      <c r="A8" s="67"/>
      <c r="B8" s="76"/>
      <c r="C8" s="76"/>
      <c r="D8" s="67"/>
      <c r="E8" s="76"/>
      <c r="F8" s="76"/>
      <c r="G8" s="67"/>
      <c r="H8" s="82"/>
    </row>
    <row r="9" spans="1:9" ht="23.1" customHeight="1" x14ac:dyDescent="0.55000000000000004">
      <c r="A9" s="6" t="s">
        <v>16</v>
      </c>
      <c r="B9" s="6" t="s">
        <v>17</v>
      </c>
      <c r="C9" s="6" t="s">
        <v>18</v>
      </c>
      <c r="D9" s="7">
        <v>7200300997</v>
      </c>
      <c r="E9" s="7">
        <v>29911541054</v>
      </c>
      <c r="F9" s="7">
        <v>30009523562</v>
      </c>
      <c r="G9" s="7">
        <f>Table3[[#This Row],[7200300997.0000]]-Table3[[#This Row],[30009523562.0000]]+Table3[[#This Row],[29911541054.0000]]</f>
        <v>7102318489</v>
      </c>
      <c r="H9" s="38">
        <f>(Table3[[#This Row],[7102318489.0000]]/Table3[[#This Row],[Column1]])*100</f>
        <v>8.786627800655462E-3</v>
      </c>
      <c r="I9" s="22">
        <f>' سهام و صندوق‌های سرمایه‌گذاری'!N10</f>
        <v>80830992846541</v>
      </c>
    </row>
    <row r="10" spans="1:9" ht="23.1" customHeight="1" x14ac:dyDescent="0.55000000000000004">
      <c r="A10" s="6" t="s">
        <v>20</v>
      </c>
      <c r="B10" s="6" t="s">
        <v>21</v>
      </c>
      <c r="C10" s="6" t="s">
        <v>18</v>
      </c>
      <c r="D10" s="7">
        <v>2174944955</v>
      </c>
      <c r="E10" s="7">
        <v>12621941514</v>
      </c>
      <c r="F10" s="7">
        <v>12021301559</v>
      </c>
      <c r="G10" s="7">
        <f>Table3[[#This Row],[7200300997.0000]]-Table3[[#This Row],[30009523562.0000]]+Table3[[#This Row],[29911541054.0000]]</f>
        <v>2775584910</v>
      </c>
      <c r="H10" s="38">
        <f>(Table3[[#This Row],[7102318489.0000]]/Table3[[#This Row],[Column1]])*100</f>
        <v>3.4338127149687427E-3</v>
      </c>
      <c r="I10" s="22">
        <f>' سهام و صندوق‌های سرمایه‌گذاری'!N11</f>
        <v>80830992846541</v>
      </c>
    </row>
    <row r="11" spans="1:9" ht="23.1" customHeight="1" x14ac:dyDescent="0.55000000000000004">
      <c r="A11" s="6" t="s">
        <v>22</v>
      </c>
      <c r="B11" s="6" t="s">
        <v>23</v>
      </c>
      <c r="C11" s="6" t="s">
        <v>18</v>
      </c>
      <c r="D11" s="7">
        <v>8477764468</v>
      </c>
      <c r="E11" s="7">
        <v>26646107525</v>
      </c>
      <c r="F11" s="7">
        <v>14875315192</v>
      </c>
      <c r="G11" s="7">
        <f>Table3[[#This Row],[7200300997.0000]]-Table3[[#This Row],[30009523562.0000]]+Table3[[#This Row],[29911541054.0000]]</f>
        <v>20248556801</v>
      </c>
      <c r="H11" s="38">
        <f>(Table3[[#This Row],[7102318489.0000]]/Table3[[#This Row],[Column1]])*100</f>
        <v>2.5050486314627144E-2</v>
      </c>
      <c r="I11" s="22">
        <f>' سهام و صندوق‌های سرمایه‌گذاری'!N12</f>
        <v>80830992846541</v>
      </c>
    </row>
    <row r="12" spans="1:9" ht="23.1" customHeight="1" x14ac:dyDescent="0.55000000000000004">
      <c r="A12" s="6" t="s">
        <v>24</v>
      </c>
      <c r="B12" s="6" t="s">
        <v>25</v>
      </c>
      <c r="C12" s="6" t="s">
        <v>18</v>
      </c>
      <c r="D12" s="7">
        <v>11715253198</v>
      </c>
      <c r="E12" s="7">
        <v>22940768718</v>
      </c>
      <c r="F12" s="7">
        <v>18432226135</v>
      </c>
      <c r="G12" s="7">
        <f>Table3[[#This Row],[7200300997.0000]]-Table3[[#This Row],[30009523562.0000]]+Table3[[#This Row],[29911541054.0000]]</f>
        <v>16223795781</v>
      </c>
      <c r="H12" s="38">
        <f>(Table3[[#This Row],[7102318489.0000]]/Table3[[#This Row],[Column1]])*100</f>
        <v>2.0071256345695454E-2</v>
      </c>
      <c r="I12" s="22">
        <f>' سهام و صندوق‌های سرمایه‌گذاری'!N13</f>
        <v>80830992846541</v>
      </c>
    </row>
    <row r="13" spans="1:9" ht="23.1" customHeight="1" x14ac:dyDescent="0.55000000000000004">
      <c r="A13" s="6" t="s">
        <v>26</v>
      </c>
      <c r="B13" s="6" t="s">
        <v>27</v>
      </c>
      <c r="C13" s="6" t="s">
        <v>18</v>
      </c>
      <c r="D13" s="7">
        <v>17790241593</v>
      </c>
      <c r="E13" s="7">
        <v>23056060396</v>
      </c>
      <c r="F13" s="7">
        <v>36310604267</v>
      </c>
      <c r="G13" s="7">
        <f>Table3[[#This Row],[7200300997.0000]]-Table3[[#This Row],[30009523562.0000]]+Table3[[#This Row],[29911541054.0000]]</f>
        <v>4535697722</v>
      </c>
      <c r="H13" s="38">
        <f>(Table3[[#This Row],[7102318489.0000]]/Table3[[#This Row],[Column1]])*100</f>
        <v>5.6113349128484643E-3</v>
      </c>
      <c r="I13" s="22">
        <f>' سهام و صندوق‌های سرمایه‌گذاری'!N14</f>
        <v>80830992846541</v>
      </c>
    </row>
    <row r="14" spans="1:9" ht="23.1" customHeight="1" x14ac:dyDescent="0.55000000000000004">
      <c r="A14" s="6" t="s">
        <v>28</v>
      </c>
      <c r="B14" s="6" t="s">
        <v>29</v>
      </c>
      <c r="C14" s="6" t="s">
        <v>18</v>
      </c>
      <c r="D14" s="7">
        <v>535968584</v>
      </c>
      <c r="E14" s="7">
        <v>19166076619</v>
      </c>
      <c r="F14" s="7">
        <v>16878558469</v>
      </c>
      <c r="G14" s="7">
        <f>Table3[[#This Row],[7200300997.0000]]-Table3[[#This Row],[30009523562.0000]]+Table3[[#This Row],[29911541054.0000]]</f>
        <v>2823486734</v>
      </c>
      <c r="H14" s="38">
        <f>(Table3[[#This Row],[7102318489.0000]]/Table3[[#This Row],[Column1]])*100</f>
        <v>3.4930744193139344E-3</v>
      </c>
      <c r="I14" s="22">
        <f>' سهام و صندوق‌های سرمایه‌گذاری'!N15</f>
        <v>80830992846541</v>
      </c>
    </row>
    <row r="15" spans="1:9" ht="23.1" customHeight="1" x14ac:dyDescent="0.55000000000000004">
      <c r="A15" s="6" t="s">
        <v>30</v>
      </c>
      <c r="B15" s="6" t="s">
        <v>31</v>
      </c>
      <c r="C15" s="6" t="s">
        <v>18</v>
      </c>
      <c r="D15" s="7">
        <v>14237893066</v>
      </c>
      <c r="E15" s="7">
        <v>31744802580</v>
      </c>
      <c r="F15" s="7">
        <v>40225542849</v>
      </c>
      <c r="G15" s="7">
        <f>Table3[[#This Row],[7200300997.0000]]-Table3[[#This Row],[30009523562.0000]]+Table3[[#This Row],[29911541054.0000]]</f>
        <v>5757152797</v>
      </c>
      <c r="H15" s="38">
        <f>(Table3[[#This Row],[7102318489.0000]]/Table3[[#This Row],[Column1]])*100</f>
        <v>7.1224571098984909E-3</v>
      </c>
      <c r="I15" s="22">
        <f>' سهام و صندوق‌های سرمایه‌گذاری'!N16</f>
        <v>80830992846541</v>
      </c>
    </row>
    <row r="16" spans="1:9" ht="23.1" customHeight="1" x14ac:dyDescent="0.55000000000000004">
      <c r="A16" s="6" t="s">
        <v>32</v>
      </c>
      <c r="B16" s="6" t="s">
        <v>33</v>
      </c>
      <c r="C16" s="6" t="s">
        <v>18</v>
      </c>
      <c r="D16" s="7">
        <v>10046163689</v>
      </c>
      <c r="E16" s="7">
        <v>6048437701</v>
      </c>
      <c r="F16" s="7">
        <v>12343931763</v>
      </c>
      <c r="G16" s="7">
        <f>Table3[[#This Row],[7200300997.0000]]-Table3[[#This Row],[30009523562.0000]]+Table3[[#This Row],[29911541054.0000]]</f>
        <v>3750669627</v>
      </c>
      <c r="H16" s="38">
        <f>(Table3[[#This Row],[7102318489.0000]]/Table3[[#This Row],[Column1]])*100</f>
        <v>4.6401380150318198E-3</v>
      </c>
      <c r="I16" s="22">
        <f>' سهام و صندوق‌های سرمایه‌گذاری'!N17</f>
        <v>80830992846541</v>
      </c>
    </row>
    <row r="17" spans="1:9" ht="23.1" customHeight="1" x14ac:dyDescent="0.55000000000000004">
      <c r="A17" s="6" t="s">
        <v>34</v>
      </c>
      <c r="B17" s="6" t="s">
        <v>35</v>
      </c>
      <c r="C17" s="6" t="s">
        <v>18</v>
      </c>
      <c r="D17" s="7">
        <v>16081946625</v>
      </c>
      <c r="E17" s="7">
        <v>32723120985</v>
      </c>
      <c r="F17" s="7">
        <v>36021728723</v>
      </c>
      <c r="G17" s="7">
        <f>Table3[[#This Row],[7200300997.0000]]-Table3[[#This Row],[30009523562.0000]]+Table3[[#This Row],[29911541054.0000]]</f>
        <v>12783338887</v>
      </c>
      <c r="H17" s="38">
        <f>(Table3[[#This Row],[7102318489.0000]]/Table3[[#This Row],[Column1]])*100</f>
        <v>1.581489777228072E-2</v>
      </c>
      <c r="I17" s="22">
        <f>' سهام و صندوق‌های سرمایه‌گذاری'!N18</f>
        <v>80830992846541</v>
      </c>
    </row>
    <row r="18" spans="1:9" ht="23.1" customHeight="1" x14ac:dyDescent="0.55000000000000004">
      <c r="A18" s="6" t="s">
        <v>36</v>
      </c>
      <c r="B18" s="6" t="s">
        <v>37</v>
      </c>
      <c r="C18" s="6" t="s">
        <v>18</v>
      </c>
      <c r="D18" s="7">
        <v>20316131763</v>
      </c>
      <c r="E18" s="7">
        <v>76397605781</v>
      </c>
      <c r="F18" s="7">
        <v>78641971346</v>
      </c>
      <c r="G18" s="7">
        <f>Table3[[#This Row],[7200300997.0000]]-Table3[[#This Row],[30009523562.0000]]+Table3[[#This Row],[29911541054.0000]]</f>
        <v>18071766198</v>
      </c>
      <c r="H18" s="38">
        <f>(Table3[[#This Row],[7102318489.0000]]/Table3[[#This Row],[Column1]])*100</f>
        <v>2.2357471511341636E-2</v>
      </c>
      <c r="I18" s="22">
        <f>' سهام و صندوق‌های سرمایه‌گذاری'!N19</f>
        <v>80830992846541</v>
      </c>
    </row>
    <row r="19" spans="1:9" ht="23.1" customHeight="1" x14ac:dyDescent="0.55000000000000004">
      <c r="A19" s="6" t="s">
        <v>38</v>
      </c>
      <c r="B19" s="6" t="s">
        <v>39</v>
      </c>
      <c r="C19" s="6" t="s">
        <v>18</v>
      </c>
      <c r="D19" s="7">
        <v>27325693839</v>
      </c>
      <c r="E19" s="7">
        <v>518759814877</v>
      </c>
      <c r="F19" s="7">
        <v>506235388934</v>
      </c>
      <c r="G19" s="7">
        <f>Table3[[#This Row],[7200300997.0000]]-Table3[[#This Row],[30009523562.0000]]+Table3[[#This Row],[29911541054.0000]]</f>
        <v>39850119782</v>
      </c>
      <c r="H19" s="38">
        <f>(Table3[[#This Row],[7102318489.0000]]/Table3[[#This Row],[Column1]])*100</f>
        <v>4.9300544727510803E-2</v>
      </c>
      <c r="I19" s="22">
        <f>' سهام و صندوق‌های سرمایه‌گذاری'!N20</f>
        <v>80830992846541</v>
      </c>
    </row>
    <row r="20" spans="1:9" ht="23.1" customHeight="1" x14ac:dyDescent="0.55000000000000004">
      <c r="A20" s="6" t="s">
        <v>40</v>
      </c>
      <c r="B20" s="6" t="s">
        <v>41</v>
      </c>
      <c r="C20" s="6" t="s">
        <v>18</v>
      </c>
      <c r="D20" s="7">
        <v>32883241</v>
      </c>
      <c r="E20" s="7">
        <v>277098</v>
      </c>
      <c r="F20" s="7">
        <v>0</v>
      </c>
      <c r="G20" s="7">
        <f>Table3[[#This Row],[7200300997.0000]]-Table3[[#This Row],[30009523562.0000]]+Table3[[#This Row],[29911541054.0000]]</f>
        <v>33160339</v>
      </c>
      <c r="H20" s="38">
        <f>(Table3[[#This Row],[7102318489.0000]]/Table3[[#This Row],[Column1]])*100</f>
        <v>4.1024287630557087E-5</v>
      </c>
      <c r="I20" s="22">
        <f>' سهام و صندوق‌های سرمایه‌گذاری'!N21</f>
        <v>80830992846541</v>
      </c>
    </row>
    <row r="21" spans="1:9" ht="23.1" customHeight="1" x14ac:dyDescent="0.55000000000000004">
      <c r="A21" s="6" t="s">
        <v>42</v>
      </c>
      <c r="B21" s="6" t="s">
        <v>43</v>
      </c>
      <c r="C21" s="6" t="s">
        <v>18</v>
      </c>
      <c r="D21" s="7">
        <v>3339679475</v>
      </c>
      <c r="E21" s="7">
        <v>14238322802</v>
      </c>
      <c r="F21" s="7">
        <v>5962671307</v>
      </c>
      <c r="G21" s="7">
        <f>Table3[[#This Row],[7200300997.0000]]-Table3[[#This Row],[30009523562.0000]]+Table3[[#This Row],[29911541054.0000]]</f>
        <v>11615330970</v>
      </c>
      <c r="H21" s="38">
        <f>(Table3[[#This Row],[7102318489.0000]]/Table3[[#This Row],[Column1]])*100</f>
        <v>1.4369897685225643E-2</v>
      </c>
      <c r="I21" s="22">
        <f>' سهام و صندوق‌های سرمایه‌گذاری'!N22</f>
        <v>80830992846541</v>
      </c>
    </row>
    <row r="22" spans="1:9" ht="23.1" customHeight="1" x14ac:dyDescent="0.55000000000000004">
      <c r="A22" s="6" t="s">
        <v>44</v>
      </c>
      <c r="B22" s="6" t="s">
        <v>45</v>
      </c>
      <c r="C22" s="6" t="s">
        <v>18</v>
      </c>
      <c r="D22" s="7">
        <v>18447406412</v>
      </c>
      <c r="E22" s="7">
        <v>40766180732</v>
      </c>
      <c r="F22" s="7">
        <v>45049858284</v>
      </c>
      <c r="G22" s="7">
        <f>Table3[[#This Row],[7200300997.0000]]-Table3[[#This Row],[30009523562.0000]]+Table3[[#This Row],[29911541054.0000]]</f>
        <v>14163728860</v>
      </c>
      <c r="H22" s="38">
        <f>(Table3[[#This Row],[7102318489.0000]]/Table3[[#This Row],[Column1]])*100</f>
        <v>1.7522646154910008E-2</v>
      </c>
      <c r="I22" s="22">
        <f>' سهام و صندوق‌های سرمایه‌گذاری'!N23</f>
        <v>80830992846541</v>
      </c>
    </row>
    <row r="23" spans="1:9" ht="23.1" customHeight="1" x14ac:dyDescent="0.55000000000000004">
      <c r="A23" s="6" t="s">
        <v>46</v>
      </c>
      <c r="B23" s="6" t="s">
        <v>47</v>
      </c>
      <c r="C23" s="6" t="s">
        <v>18</v>
      </c>
      <c r="D23" s="7">
        <v>376309357</v>
      </c>
      <c r="E23" s="7">
        <v>18257849312</v>
      </c>
      <c r="F23" s="7">
        <v>10622613506</v>
      </c>
      <c r="G23" s="7">
        <f>Table3[[#This Row],[7200300997.0000]]-Table3[[#This Row],[30009523562.0000]]+Table3[[#This Row],[29911541054.0000]]</f>
        <v>8011545163</v>
      </c>
      <c r="H23" s="38">
        <f>(Table3[[#This Row],[7102318489.0000]]/Table3[[#This Row],[Column1]])*100</f>
        <v>9.9114768739882401E-3</v>
      </c>
      <c r="I23" s="22">
        <f>' سهام و صندوق‌های سرمایه‌گذاری'!N24</f>
        <v>80830992846541</v>
      </c>
    </row>
    <row r="24" spans="1:9" ht="23.1" customHeight="1" x14ac:dyDescent="0.55000000000000004">
      <c r="A24" s="6" t="s">
        <v>48</v>
      </c>
      <c r="B24" s="6" t="s">
        <v>49</v>
      </c>
      <c r="C24" s="6" t="s">
        <v>18</v>
      </c>
      <c r="D24" s="7">
        <v>18452323225</v>
      </c>
      <c r="E24" s="7">
        <v>43610077652</v>
      </c>
      <c r="F24" s="7">
        <v>54460670938</v>
      </c>
      <c r="G24" s="7">
        <f>Table3[[#This Row],[7200300997.0000]]-Table3[[#This Row],[30009523562.0000]]+Table3[[#This Row],[29911541054.0000]]</f>
        <v>7601729939</v>
      </c>
      <c r="H24" s="38">
        <f>(Table3[[#This Row],[7102318489.0000]]/Table3[[#This Row],[Column1]])*100</f>
        <v>9.4044742880147626E-3</v>
      </c>
      <c r="I24" s="22">
        <f>' سهام و صندوق‌های سرمایه‌گذاری'!N25</f>
        <v>80830992846541</v>
      </c>
    </row>
    <row r="25" spans="1:9" ht="23.1" customHeight="1" x14ac:dyDescent="0.55000000000000004">
      <c r="A25" s="6" t="s">
        <v>50</v>
      </c>
      <c r="B25" s="6" t="s">
        <v>51</v>
      </c>
      <c r="C25" s="6" t="s">
        <v>18</v>
      </c>
      <c r="D25" s="7">
        <v>18932153646</v>
      </c>
      <c r="E25" s="7">
        <v>54275664862</v>
      </c>
      <c r="F25" s="7">
        <v>62453506668</v>
      </c>
      <c r="G25" s="7">
        <f>Table3[[#This Row],[7200300997.0000]]-Table3[[#This Row],[30009523562.0000]]+Table3[[#This Row],[29911541054.0000]]</f>
        <v>10754311840</v>
      </c>
      <c r="H25" s="38">
        <f>(Table3[[#This Row],[7102318489.0000]]/Table3[[#This Row],[Column1]])*100</f>
        <v>1.3304688537498532E-2</v>
      </c>
      <c r="I25" s="22">
        <f>' سهام و صندوق‌های سرمایه‌گذاری'!N26</f>
        <v>80830992846541</v>
      </c>
    </row>
    <row r="26" spans="1:9" ht="23.1" customHeight="1" x14ac:dyDescent="0.55000000000000004">
      <c r="A26" s="6" t="s">
        <v>52</v>
      </c>
      <c r="B26" s="6" t="s">
        <v>53</v>
      </c>
      <c r="C26" s="6" t="s">
        <v>18</v>
      </c>
      <c r="D26" s="7">
        <v>8895647782</v>
      </c>
      <c r="E26" s="7">
        <v>13978714520</v>
      </c>
      <c r="F26" s="7">
        <v>13558299021</v>
      </c>
      <c r="G26" s="7">
        <f>Table3[[#This Row],[7200300997.0000]]-Table3[[#This Row],[30009523562.0000]]+Table3[[#This Row],[29911541054.0000]]</f>
        <v>9316063281</v>
      </c>
      <c r="H26" s="38">
        <f>(Table3[[#This Row],[7102318489.0000]]/Table3[[#This Row],[Column1]])*100</f>
        <v>1.152536045015147E-2</v>
      </c>
      <c r="I26" s="22">
        <f>' سهام و صندوق‌های سرمایه‌گذاری'!N27</f>
        <v>80830992846541</v>
      </c>
    </row>
    <row r="27" spans="1:9" ht="23.1" customHeight="1" x14ac:dyDescent="0.55000000000000004">
      <c r="A27" s="6" t="s">
        <v>54</v>
      </c>
      <c r="B27" s="6" t="s">
        <v>55</v>
      </c>
      <c r="C27" s="6" t="s">
        <v>18</v>
      </c>
      <c r="D27" s="7">
        <v>10912619656</v>
      </c>
      <c r="E27" s="7">
        <v>48559848183</v>
      </c>
      <c r="F27" s="7">
        <v>54719419741</v>
      </c>
      <c r="G27" s="7">
        <f>Table3[[#This Row],[7200300997.0000]]-Table3[[#This Row],[30009523562.0000]]+Table3[[#This Row],[29911541054.0000]]</f>
        <v>4753048098</v>
      </c>
      <c r="H27" s="38">
        <f>(Table3[[#This Row],[7102318489.0000]]/Table3[[#This Row],[Column1]])*100</f>
        <v>5.8802297616506356E-3</v>
      </c>
      <c r="I27" s="22">
        <f>' سهام و صندوق‌های سرمایه‌گذاری'!N28</f>
        <v>80830992846541</v>
      </c>
    </row>
    <row r="28" spans="1:9" ht="23.1" customHeight="1" x14ac:dyDescent="0.55000000000000004">
      <c r="A28" s="6" t="s">
        <v>56</v>
      </c>
      <c r="B28" s="6" t="s">
        <v>57</v>
      </c>
      <c r="C28" s="6" t="s">
        <v>18</v>
      </c>
      <c r="D28" s="7">
        <v>13714033957</v>
      </c>
      <c r="E28" s="7">
        <v>15027617424</v>
      </c>
      <c r="F28" s="7">
        <v>11895399014</v>
      </c>
      <c r="G28" s="7">
        <f>Table3[[#This Row],[7200300997.0000]]-Table3[[#This Row],[30009523562.0000]]+Table3[[#This Row],[29911541054.0000]]</f>
        <v>16846252367</v>
      </c>
      <c r="H28" s="38">
        <f>(Table3[[#This Row],[7102318489.0000]]/Table3[[#This Row],[Column1]])*100</f>
        <v>2.0841328027459582E-2</v>
      </c>
      <c r="I28" s="22">
        <f>' سهام و صندوق‌های سرمایه‌گذاری'!N29</f>
        <v>80830992846541</v>
      </c>
    </row>
    <row r="29" spans="1:9" ht="23.1" customHeight="1" x14ac:dyDescent="0.55000000000000004">
      <c r="A29" s="6" t="s">
        <v>58</v>
      </c>
      <c r="B29" s="6" t="s">
        <v>59</v>
      </c>
      <c r="C29" s="6" t="s">
        <v>18</v>
      </c>
      <c r="D29" s="7">
        <v>14788420206</v>
      </c>
      <c r="E29" s="7">
        <v>16324026072</v>
      </c>
      <c r="F29" s="7">
        <v>30966201914</v>
      </c>
      <c r="G29" s="7">
        <f>Table3[[#This Row],[7200300997.0000]]-Table3[[#This Row],[30009523562.0000]]+Table3[[#This Row],[29911541054.0000]]</f>
        <v>146244364</v>
      </c>
      <c r="H29" s="38">
        <f>(Table3[[#This Row],[7102318489.0000]]/Table3[[#This Row],[Column1]])*100</f>
        <v>1.8092610130083072E-4</v>
      </c>
      <c r="I29" s="22">
        <f>' سهام و صندوق‌های سرمایه‌گذاری'!N30</f>
        <v>80830992846541</v>
      </c>
    </row>
    <row r="30" spans="1:9" ht="23.1" customHeight="1" x14ac:dyDescent="0.55000000000000004">
      <c r="A30" s="6" t="s">
        <v>60</v>
      </c>
      <c r="B30" s="6" t="s">
        <v>61</v>
      </c>
      <c r="C30" s="6" t="s">
        <v>18</v>
      </c>
      <c r="D30" s="7">
        <v>21223382626</v>
      </c>
      <c r="E30" s="7">
        <v>27384470094</v>
      </c>
      <c r="F30" s="7">
        <v>33354169490</v>
      </c>
      <c r="G30" s="7">
        <f>Table3[[#This Row],[7200300997.0000]]-Table3[[#This Row],[30009523562.0000]]+Table3[[#This Row],[29911541054.0000]]</f>
        <v>15253683230</v>
      </c>
      <c r="H30" s="38">
        <f>(Table3[[#This Row],[7102318489.0000]]/Table3[[#This Row],[Column1]])*100</f>
        <v>1.8871082356936249E-2</v>
      </c>
      <c r="I30" s="22">
        <f>' سهام و صندوق‌های سرمایه‌گذاری'!N31</f>
        <v>80830992846541</v>
      </c>
    </row>
    <row r="31" spans="1:9" ht="23.1" customHeight="1" x14ac:dyDescent="0.55000000000000004">
      <c r="A31" s="6" t="s">
        <v>62</v>
      </c>
      <c r="B31" s="6" t="s">
        <v>63</v>
      </c>
      <c r="C31" s="6" t="s">
        <v>18</v>
      </c>
      <c r="D31" s="7">
        <v>19996735620</v>
      </c>
      <c r="E31" s="7">
        <v>14148600442</v>
      </c>
      <c r="F31" s="7">
        <v>26572591690</v>
      </c>
      <c r="G31" s="7">
        <f>Table3[[#This Row],[7200300997.0000]]-Table3[[#This Row],[30009523562.0000]]+Table3[[#This Row],[29911541054.0000]]</f>
        <v>7572744372</v>
      </c>
      <c r="H31" s="38">
        <f>(Table3[[#This Row],[7102318489.0000]]/Table3[[#This Row],[Column1]])*100</f>
        <v>9.3686148163204946E-3</v>
      </c>
      <c r="I31" s="22">
        <f>' سهام و صندوق‌های سرمایه‌گذاری'!N32</f>
        <v>80830992846541</v>
      </c>
    </row>
    <row r="32" spans="1:9" ht="23.1" customHeight="1" x14ac:dyDescent="0.55000000000000004">
      <c r="A32" s="6" t="s">
        <v>64</v>
      </c>
      <c r="B32" s="6" t="s">
        <v>65</v>
      </c>
      <c r="C32" s="6" t="s">
        <v>18</v>
      </c>
      <c r="D32" s="7">
        <v>17116037039</v>
      </c>
      <c r="E32" s="7">
        <v>56659707021</v>
      </c>
      <c r="F32" s="7">
        <v>53928380936</v>
      </c>
      <c r="G32" s="7">
        <f>Table3[[#This Row],[7200300997.0000]]-Table3[[#This Row],[30009523562.0000]]+Table3[[#This Row],[29911541054.0000]]</f>
        <v>19847363124</v>
      </c>
      <c r="H32" s="38">
        <f>(Table3[[#This Row],[7102318489.0000]]/Table3[[#This Row],[Column1]])*100</f>
        <v>2.4554149868826369E-2</v>
      </c>
      <c r="I32" s="22">
        <f>' سهام و صندوق‌های سرمایه‌گذاری'!N33</f>
        <v>80830992846541</v>
      </c>
    </row>
    <row r="33" spans="1:9" ht="23.1" customHeight="1" x14ac:dyDescent="0.55000000000000004">
      <c r="A33" s="6" t="s">
        <v>66</v>
      </c>
      <c r="B33" s="6" t="s">
        <v>67</v>
      </c>
      <c r="C33" s="6" t="s">
        <v>18</v>
      </c>
      <c r="D33" s="7">
        <v>9997719480</v>
      </c>
      <c r="E33" s="7">
        <v>34254236449</v>
      </c>
      <c r="F33" s="7">
        <v>28456827475</v>
      </c>
      <c r="G33" s="7">
        <f>Table3[[#This Row],[7200300997.0000]]-Table3[[#This Row],[30009523562.0000]]+Table3[[#This Row],[29911541054.0000]]</f>
        <v>15795128454</v>
      </c>
      <c r="H33" s="38">
        <f>(Table3[[#This Row],[7102318489.0000]]/Table3[[#This Row],[Column1]])*100</f>
        <v>1.9540930895142309E-2</v>
      </c>
      <c r="I33" s="22">
        <f>' سهام و صندوق‌های سرمایه‌گذاری'!N34</f>
        <v>80830992846541</v>
      </c>
    </row>
    <row r="34" spans="1:9" ht="23.1" customHeight="1" x14ac:dyDescent="0.55000000000000004">
      <c r="A34" s="6" t="s">
        <v>68</v>
      </c>
      <c r="B34" s="6" t="s">
        <v>69</v>
      </c>
      <c r="C34" s="6" t="s">
        <v>18</v>
      </c>
      <c r="D34" s="7">
        <v>2135315446</v>
      </c>
      <c r="E34" s="7">
        <v>16907409339</v>
      </c>
      <c r="F34" s="7">
        <v>16712138512</v>
      </c>
      <c r="G34" s="7">
        <f>Table3[[#This Row],[7200300997.0000]]-Table3[[#This Row],[30009523562.0000]]+Table3[[#This Row],[29911541054.0000]]</f>
        <v>2330586273</v>
      </c>
      <c r="H34" s="38">
        <f>(Table3[[#This Row],[7102318489.0000]]/Table3[[#This Row],[Column1]])*100</f>
        <v>2.8832829969373968E-3</v>
      </c>
      <c r="I34" s="22">
        <f>' سهام و صندوق‌های سرمایه‌گذاری'!N35</f>
        <v>80830992846541</v>
      </c>
    </row>
    <row r="35" spans="1:9" ht="23.1" customHeight="1" x14ac:dyDescent="0.55000000000000004">
      <c r="A35" s="6" t="s">
        <v>70</v>
      </c>
      <c r="B35" s="6" t="s">
        <v>71</v>
      </c>
      <c r="C35" s="6" t="s">
        <v>18</v>
      </c>
      <c r="D35" s="7">
        <v>30253092279</v>
      </c>
      <c r="E35" s="7">
        <v>20225928986</v>
      </c>
      <c r="F35" s="7">
        <v>38047693753</v>
      </c>
      <c r="G35" s="7">
        <f>Table3[[#This Row],[7200300997.0000]]-Table3[[#This Row],[30009523562.0000]]+Table3[[#This Row],[29911541054.0000]]</f>
        <v>12431327512</v>
      </c>
      <c r="H35" s="38">
        <f>(Table3[[#This Row],[7102318489.0000]]/Table3[[#This Row],[Column1]])*100</f>
        <v>1.5379407173187995E-2</v>
      </c>
      <c r="I35" s="22">
        <f>' سهام و صندوق‌های سرمایه‌گذاری'!N36</f>
        <v>80830992846541</v>
      </c>
    </row>
    <row r="36" spans="1:9" ht="23.1" customHeight="1" x14ac:dyDescent="0.55000000000000004">
      <c r="A36" s="6" t="s">
        <v>72</v>
      </c>
      <c r="B36" s="6" t="s">
        <v>73</v>
      </c>
      <c r="C36" s="6" t="s">
        <v>18</v>
      </c>
      <c r="D36" s="7">
        <v>3660023600</v>
      </c>
      <c r="E36" s="7">
        <v>65212404545</v>
      </c>
      <c r="F36" s="7">
        <v>57676066219</v>
      </c>
      <c r="G36" s="7">
        <f>Table3[[#This Row],[7200300997.0000]]-Table3[[#This Row],[30009523562.0000]]+Table3[[#This Row],[29911541054.0000]]</f>
        <v>11196361926</v>
      </c>
      <c r="H36" s="38">
        <f>(Table3[[#This Row],[7102318489.0000]]/Table3[[#This Row],[Column1]])*100</f>
        <v>1.3851570457951051E-2</v>
      </c>
      <c r="I36" s="22">
        <f>' سهام و صندوق‌های سرمایه‌گذاری'!N37</f>
        <v>80830992846541</v>
      </c>
    </row>
    <row r="37" spans="1:9" ht="23.1" customHeight="1" x14ac:dyDescent="0.55000000000000004">
      <c r="A37" s="6" t="s">
        <v>74</v>
      </c>
      <c r="B37" s="6" t="s">
        <v>75</v>
      </c>
      <c r="C37" s="6" t="s">
        <v>18</v>
      </c>
      <c r="D37" s="7">
        <v>13234365540</v>
      </c>
      <c r="E37" s="7">
        <v>16951928416</v>
      </c>
      <c r="F37" s="7">
        <v>21777564137</v>
      </c>
      <c r="G37" s="7">
        <f>Table3[[#This Row],[7200300997.0000]]-Table3[[#This Row],[30009523562.0000]]+Table3[[#This Row],[29911541054.0000]]</f>
        <v>8408729819</v>
      </c>
      <c r="H37" s="38">
        <f>(Table3[[#This Row],[7102318489.0000]]/Table3[[#This Row],[Column1]])*100</f>
        <v>1.0402853562573597E-2</v>
      </c>
      <c r="I37" s="22">
        <f>' سهام و صندوق‌های سرمایه‌گذاری'!N38</f>
        <v>80830992846541</v>
      </c>
    </row>
    <row r="38" spans="1:9" ht="23.1" customHeight="1" x14ac:dyDescent="0.55000000000000004">
      <c r="A38" s="6" t="s">
        <v>76</v>
      </c>
      <c r="B38" s="6" t="s">
        <v>77</v>
      </c>
      <c r="C38" s="6" t="s">
        <v>18</v>
      </c>
      <c r="D38" s="7">
        <v>5000283691</v>
      </c>
      <c r="E38" s="7">
        <v>11939644828</v>
      </c>
      <c r="F38" s="7">
        <v>6205667867</v>
      </c>
      <c r="G38" s="7">
        <f>Table3[[#This Row],[7200300997.0000]]-Table3[[#This Row],[30009523562.0000]]+Table3[[#This Row],[29911541054.0000]]</f>
        <v>10734260652</v>
      </c>
      <c r="H38" s="38">
        <f>(Table3[[#This Row],[7102318489.0000]]/Table3[[#This Row],[Column1]])*100</f>
        <v>1.3279882225842723E-2</v>
      </c>
      <c r="I38" s="22">
        <f>' سهام و صندوق‌های سرمایه‌گذاری'!N39</f>
        <v>80830992846541</v>
      </c>
    </row>
    <row r="39" spans="1:9" ht="23.1" customHeight="1" x14ac:dyDescent="0.55000000000000004">
      <c r="A39" s="6" t="s">
        <v>78</v>
      </c>
      <c r="B39" s="6" t="s">
        <v>79</v>
      </c>
      <c r="C39" s="6" t="s">
        <v>18</v>
      </c>
      <c r="D39" s="7">
        <v>12083760179</v>
      </c>
      <c r="E39" s="7">
        <v>24147455461</v>
      </c>
      <c r="F39" s="7">
        <v>0</v>
      </c>
      <c r="G39" s="7">
        <f>Table3[[#This Row],[7200300997.0000]]-Table3[[#This Row],[30009523562.0000]]+Table3[[#This Row],[29911541054.0000]]</f>
        <v>36231215640</v>
      </c>
      <c r="H39" s="38">
        <f>(Table3[[#This Row],[7102318489.0000]]/Table3[[#This Row],[Column1]])*100</f>
        <v>4.4823420279874043E-2</v>
      </c>
      <c r="I39" s="22">
        <f>' سهام و صندوق‌های سرمایه‌گذاری'!N40</f>
        <v>80830992846541</v>
      </c>
    </row>
    <row r="40" spans="1:9" ht="23.1" customHeight="1" x14ac:dyDescent="0.55000000000000004">
      <c r="A40" s="6" t="s">
        <v>80</v>
      </c>
      <c r="B40" s="6" t="s">
        <v>81</v>
      </c>
      <c r="C40" s="6" t="s">
        <v>18</v>
      </c>
      <c r="D40" s="7">
        <v>13291548639</v>
      </c>
      <c r="E40" s="7">
        <v>22882120475</v>
      </c>
      <c r="F40" s="7">
        <v>22132462734</v>
      </c>
      <c r="G40" s="7">
        <f>Table3[[#This Row],[7200300997.0000]]-Table3[[#This Row],[30009523562.0000]]+Table3[[#This Row],[29911541054.0000]]</f>
        <v>14041206380</v>
      </c>
      <c r="H40" s="38">
        <f>(Table3[[#This Row],[7102318489.0000]]/Table3[[#This Row],[Column1]])*100</f>
        <v>1.737106756396951E-2</v>
      </c>
      <c r="I40" s="22">
        <f>' سهام و صندوق‌های سرمایه‌گذاری'!N42</f>
        <v>80830992846541</v>
      </c>
    </row>
    <row r="41" spans="1:9" ht="23.1" customHeight="1" x14ac:dyDescent="0.55000000000000004">
      <c r="A41" s="6" t="s">
        <v>82</v>
      </c>
      <c r="B41" s="6" t="s">
        <v>83</v>
      </c>
      <c r="C41" s="6" t="s">
        <v>18</v>
      </c>
      <c r="D41" s="7">
        <v>12501870558</v>
      </c>
      <c r="E41" s="7">
        <v>38545560369</v>
      </c>
      <c r="F41" s="7">
        <v>41549352577</v>
      </c>
      <c r="G41" s="7">
        <f>Table3[[#This Row],[7200300997.0000]]-Table3[[#This Row],[30009523562.0000]]+Table3[[#This Row],[29911541054.0000]]</f>
        <v>9498078350</v>
      </c>
      <c r="H41" s="38">
        <f>(Table3[[#This Row],[7102318489.0000]]/Table3[[#This Row],[Column1]])*100</f>
        <v>1.1750540251351683E-2</v>
      </c>
      <c r="I41" s="22">
        <f>' سهام و صندوق‌های سرمایه‌گذاری'!N43</f>
        <v>80830992846541</v>
      </c>
    </row>
    <row r="42" spans="1:9" ht="23.1" customHeight="1" x14ac:dyDescent="0.55000000000000004">
      <c r="A42" s="6" t="s">
        <v>84</v>
      </c>
      <c r="B42" s="6" t="s">
        <v>85</v>
      </c>
      <c r="C42" s="6" t="s">
        <v>18</v>
      </c>
      <c r="D42" s="7">
        <v>18733085523</v>
      </c>
      <c r="E42" s="7">
        <v>52990420538</v>
      </c>
      <c r="F42" s="7">
        <v>43755380658</v>
      </c>
      <c r="G42" s="7">
        <f>Table3[[#This Row],[7200300997.0000]]-Table3[[#This Row],[30009523562.0000]]+Table3[[#This Row],[29911541054.0000]]</f>
        <v>27968125403</v>
      </c>
      <c r="H42" s="38">
        <f>(Table3[[#This Row],[7102318489.0000]]/Table3[[#This Row],[Column1]])*100</f>
        <v>3.4600744613019853E-2</v>
      </c>
      <c r="I42" s="22">
        <f>' سهام و صندوق‌های سرمایه‌گذاری'!N44</f>
        <v>80830992846541</v>
      </c>
    </row>
    <row r="43" spans="1:9" ht="23.1" customHeight="1" x14ac:dyDescent="0.55000000000000004">
      <c r="A43" s="6" t="s">
        <v>86</v>
      </c>
      <c r="B43" s="6" t="s">
        <v>87</v>
      </c>
      <c r="C43" s="6" t="s">
        <v>18</v>
      </c>
      <c r="D43" s="7">
        <v>14072916005</v>
      </c>
      <c r="E43" s="7">
        <v>3230516597</v>
      </c>
      <c r="F43" s="7">
        <v>358741684</v>
      </c>
      <c r="G43" s="7">
        <f>Table3[[#This Row],[7200300997.0000]]-Table3[[#This Row],[30009523562.0000]]+Table3[[#This Row],[29911541054.0000]]</f>
        <v>16944690918</v>
      </c>
      <c r="H43" s="38">
        <f>(Table3[[#This Row],[7102318489.0000]]/Table3[[#This Row],[Column1]])*100</f>
        <v>2.0963111204349277E-2</v>
      </c>
      <c r="I43" s="22">
        <f>' سهام و صندوق‌های سرمایه‌گذاری'!N45</f>
        <v>80830992846541</v>
      </c>
    </row>
    <row r="44" spans="1:9" ht="23.1" customHeight="1" x14ac:dyDescent="0.55000000000000004">
      <c r="A44" s="6" t="s">
        <v>88</v>
      </c>
      <c r="B44" s="6" t="s">
        <v>89</v>
      </c>
      <c r="C44" s="6" t="s">
        <v>18</v>
      </c>
      <c r="D44" s="7">
        <v>11449514985</v>
      </c>
      <c r="E44" s="7">
        <v>7386493236</v>
      </c>
      <c r="F44" s="7">
        <v>9277611537</v>
      </c>
      <c r="G44" s="7">
        <f>Table3[[#This Row],[7200300997.0000]]-Table3[[#This Row],[30009523562.0000]]+Table3[[#This Row],[29911541054.0000]]</f>
        <v>9558396684</v>
      </c>
      <c r="H44" s="38">
        <f>(Table3[[#This Row],[7102318489.0000]]/Table3[[#This Row],[Column1]])*100</f>
        <v>1.1825163031396604E-2</v>
      </c>
      <c r="I44" s="22">
        <f>' سهام و صندوق‌های سرمایه‌گذاری'!N46</f>
        <v>80830992846541</v>
      </c>
    </row>
    <row r="45" spans="1:9" ht="23.1" customHeight="1" x14ac:dyDescent="0.55000000000000004">
      <c r="A45" s="6" t="s">
        <v>90</v>
      </c>
      <c r="B45" s="6" t="s">
        <v>91</v>
      </c>
      <c r="C45" s="6" t="s">
        <v>18</v>
      </c>
      <c r="D45" s="7">
        <v>10923817582</v>
      </c>
      <c r="E45" s="7">
        <v>11459130508</v>
      </c>
      <c r="F45" s="7">
        <v>13064645500</v>
      </c>
      <c r="G45" s="7">
        <f>Table3[[#This Row],[7200300997.0000]]-Table3[[#This Row],[30009523562.0000]]+Table3[[#This Row],[29911541054.0000]]</f>
        <v>9318302590</v>
      </c>
      <c r="H45" s="38">
        <f>(Table3[[#This Row],[7102318489.0000]]/Table3[[#This Row],[Column1]])*100</f>
        <v>1.1528130809541032E-2</v>
      </c>
      <c r="I45" s="22">
        <f>' سهام و صندوق‌های سرمایه‌گذاری'!N47</f>
        <v>80830992846541</v>
      </c>
    </row>
    <row r="46" spans="1:9" ht="23.1" customHeight="1" x14ac:dyDescent="0.55000000000000004">
      <c r="A46" s="6" t="s">
        <v>92</v>
      </c>
      <c r="B46" s="6" t="s">
        <v>93</v>
      </c>
      <c r="C46" s="6" t="s">
        <v>18</v>
      </c>
      <c r="D46" s="7">
        <v>12562950103</v>
      </c>
      <c r="E46" s="7">
        <v>24471272238</v>
      </c>
      <c r="F46" s="7">
        <v>25128059540</v>
      </c>
      <c r="G46" s="7">
        <f>Table3[[#This Row],[7200300997.0000]]-Table3[[#This Row],[30009523562.0000]]+Table3[[#This Row],[29911541054.0000]]</f>
        <v>11906162801</v>
      </c>
      <c r="H46" s="38">
        <f>(Table3[[#This Row],[7102318489.0000]]/Table3[[#This Row],[Column1]])*100</f>
        <v>1.4729700058991048E-2</v>
      </c>
      <c r="I46" s="22">
        <f>' سهام و صندوق‌های سرمایه‌گذاری'!N48</f>
        <v>80830992846541</v>
      </c>
    </row>
    <row r="47" spans="1:9" ht="23.1" customHeight="1" x14ac:dyDescent="0.55000000000000004">
      <c r="A47" s="6" t="s">
        <v>94</v>
      </c>
      <c r="B47" s="6" t="s">
        <v>95</v>
      </c>
      <c r="C47" s="6" t="s">
        <v>18</v>
      </c>
      <c r="D47" s="7">
        <v>5735626241</v>
      </c>
      <c r="E47" s="7">
        <v>10618273301</v>
      </c>
      <c r="F47" s="7">
        <v>13166340552</v>
      </c>
      <c r="G47" s="7">
        <f>Table3[[#This Row],[7200300997.0000]]-Table3[[#This Row],[30009523562.0000]]+Table3[[#This Row],[29911541054.0000]]</f>
        <v>3187558990</v>
      </c>
      <c r="H47" s="38">
        <f>(Table3[[#This Row],[7102318489.0000]]/Table3[[#This Row],[Column1]])*100</f>
        <v>3.9434861279653392E-3</v>
      </c>
      <c r="I47" s="22">
        <f>' سهام و صندوق‌های سرمایه‌گذاری'!N49</f>
        <v>80830992846541</v>
      </c>
    </row>
    <row r="48" spans="1:9" ht="23.1" customHeight="1" x14ac:dyDescent="0.55000000000000004">
      <c r="A48" s="6" t="s">
        <v>96</v>
      </c>
      <c r="B48" s="6" t="s">
        <v>97</v>
      </c>
      <c r="C48" s="6" t="s">
        <v>18</v>
      </c>
      <c r="D48" s="7">
        <v>16276521356</v>
      </c>
      <c r="E48" s="7">
        <v>10245926950</v>
      </c>
      <c r="F48" s="7">
        <v>12668007727</v>
      </c>
      <c r="G48" s="7">
        <f>Table3[[#This Row],[7200300997.0000]]-Table3[[#This Row],[30009523562.0000]]+Table3[[#This Row],[29911541054.0000]]</f>
        <v>13854440579</v>
      </c>
      <c r="H48" s="38">
        <f>(Table3[[#This Row],[7102318489.0000]]/Table3[[#This Row],[Column1]])*100</f>
        <v>1.7140010398366486E-2</v>
      </c>
      <c r="I48" s="22">
        <f>' سهام و صندوق‌های سرمایه‌گذاری'!N50</f>
        <v>80830992846541</v>
      </c>
    </row>
    <row r="49" spans="1:9" ht="23.1" customHeight="1" x14ac:dyDescent="0.55000000000000004">
      <c r="A49" s="6" t="s">
        <v>98</v>
      </c>
      <c r="B49" s="6" t="s">
        <v>99</v>
      </c>
      <c r="C49" s="6" t="s">
        <v>18</v>
      </c>
      <c r="D49" s="7">
        <v>14527222649</v>
      </c>
      <c r="E49" s="7">
        <v>13179034306</v>
      </c>
      <c r="F49" s="7">
        <v>7280715298</v>
      </c>
      <c r="G49" s="7">
        <f>Table3[[#This Row],[7200300997.0000]]-Table3[[#This Row],[30009523562.0000]]+Table3[[#This Row],[29911541054.0000]]</f>
        <v>20425541657</v>
      </c>
      <c r="H49" s="38">
        <f>(Table3[[#This Row],[7102318489.0000]]/Table3[[#This Row],[Column1]])*100</f>
        <v>2.5269442991722537E-2</v>
      </c>
      <c r="I49" s="22">
        <f>' سهام و صندوق‌های سرمایه‌گذاری'!N51</f>
        <v>80830992846541</v>
      </c>
    </row>
    <row r="50" spans="1:9" ht="23.1" customHeight="1" x14ac:dyDescent="0.55000000000000004">
      <c r="A50" s="6" t="s">
        <v>100</v>
      </c>
      <c r="B50" s="6" t="s">
        <v>101</v>
      </c>
      <c r="C50" s="6" t="s">
        <v>18</v>
      </c>
      <c r="D50" s="7">
        <v>26800579686</v>
      </c>
      <c r="E50" s="7">
        <v>46466303350</v>
      </c>
      <c r="F50" s="7">
        <v>71176545118</v>
      </c>
      <c r="G50" s="7">
        <f>Table3[[#This Row],[7200300997.0000]]-Table3[[#This Row],[30009523562.0000]]+Table3[[#This Row],[29911541054.0000]]</f>
        <v>2090337918</v>
      </c>
      <c r="H50" s="38">
        <f>(Table3[[#This Row],[7102318489.0000]]/Table3[[#This Row],[Column1]])*100</f>
        <v>2.5860599312055236E-3</v>
      </c>
      <c r="I50" s="22">
        <f>' سهام و صندوق‌های سرمایه‌گذاری'!N52</f>
        <v>80830992846541</v>
      </c>
    </row>
    <row r="51" spans="1:9" ht="23.1" customHeight="1" x14ac:dyDescent="0.55000000000000004">
      <c r="A51" s="6" t="s">
        <v>102</v>
      </c>
      <c r="B51" s="6" t="s">
        <v>103</v>
      </c>
      <c r="C51" s="6" t="s">
        <v>18</v>
      </c>
      <c r="D51" s="7">
        <v>12171029144</v>
      </c>
      <c r="E51" s="7">
        <v>36364898196</v>
      </c>
      <c r="F51" s="7">
        <v>42844863236</v>
      </c>
      <c r="G51" s="7">
        <f>Table3[[#This Row],[7200300997.0000]]-Table3[[#This Row],[30009523562.0000]]+Table3[[#This Row],[29911541054.0000]]</f>
        <v>5691064104</v>
      </c>
      <c r="H51" s="38">
        <f>(Table3[[#This Row],[7102318489.0000]]/Table3[[#This Row],[Column1]])*100</f>
        <v>7.0406955346998899E-3</v>
      </c>
      <c r="I51" s="22">
        <f>' سهام و صندوق‌های سرمایه‌گذاری'!N53</f>
        <v>80830992846541</v>
      </c>
    </row>
    <row r="52" spans="1:9" ht="23.1" customHeight="1" x14ac:dyDescent="0.55000000000000004">
      <c r="A52" s="6" t="s">
        <v>104</v>
      </c>
      <c r="B52" s="6" t="s">
        <v>105</v>
      </c>
      <c r="C52" s="6" t="s">
        <v>18</v>
      </c>
      <c r="D52" s="7">
        <v>6736148206</v>
      </c>
      <c r="E52" s="7">
        <v>21068464478</v>
      </c>
      <c r="F52" s="7">
        <v>16466947054</v>
      </c>
      <c r="G52" s="7">
        <f>Table3[[#This Row],[7200300997.0000]]-Table3[[#This Row],[30009523562.0000]]+Table3[[#This Row],[29911541054.0000]]</f>
        <v>11337665630</v>
      </c>
      <c r="H52" s="38">
        <f>(Table3[[#This Row],[7102318489.0000]]/Table3[[#This Row],[Column1]])*100</f>
        <v>1.4026384225571432E-2</v>
      </c>
      <c r="I52" s="22">
        <f>' سهام و صندوق‌های سرمایه‌گذاری'!N54</f>
        <v>80830992846541</v>
      </c>
    </row>
    <row r="53" spans="1:9" ht="23.1" customHeight="1" x14ac:dyDescent="0.55000000000000004">
      <c r="A53" s="6" t="s">
        <v>106</v>
      </c>
      <c r="B53" s="6" t="s">
        <v>107</v>
      </c>
      <c r="C53" s="6" t="s">
        <v>18</v>
      </c>
      <c r="D53" s="7">
        <v>16500045509</v>
      </c>
      <c r="E53" s="7">
        <v>21341622973</v>
      </c>
      <c r="F53" s="7">
        <v>26073595967</v>
      </c>
      <c r="G53" s="7">
        <f>Table3[[#This Row],[7200300997.0000]]-Table3[[#This Row],[30009523562.0000]]+Table3[[#This Row],[29911541054.0000]]</f>
        <v>11768072515</v>
      </c>
      <c r="H53" s="38">
        <f>(Table3[[#This Row],[7102318489.0000]]/Table3[[#This Row],[Column1]])*100</f>
        <v>1.4558861768952764E-2</v>
      </c>
      <c r="I53" s="22">
        <f>' سهام و صندوق‌های سرمایه‌گذاری'!N55</f>
        <v>80830992846541</v>
      </c>
    </row>
    <row r="54" spans="1:9" ht="23.1" customHeight="1" x14ac:dyDescent="0.55000000000000004">
      <c r="A54" s="6" t="s">
        <v>108</v>
      </c>
      <c r="B54" s="6" t="s">
        <v>109</v>
      </c>
      <c r="C54" s="6" t="s">
        <v>18</v>
      </c>
      <c r="D54" s="7">
        <v>12316772562</v>
      </c>
      <c r="E54" s="7">
        <v>8189847834</v>
      </c>
      <c r="F54" s="7">
        <v>11700502911</v>
      </c>
      <c r="G54" s="7">
        <f>Table3[[#This Row],[7200300997.0000]]-Table3[[#This Row],[30009523562.0000]]+Table3[[#This Row],[29911541054.0000]]</f>
        <v>8806117485</v>
      </c>
      <c r="H54" s="38">
        <f>(Table3[[#This Row],[7102318489.0000]]/Table3[[#This Row],[Column1]])*100</f>
        <v>1.089448140482273E-2</v>
      </c>
      <c r="I54" s="22">
        <f>' سهام و صندوق‌های سرمایه‌گذاری'!N56</f>
        <v>80830992846541</v>
      </c>
    </row>
    <row r="55" spans="1:9" ht="23.1" customHeight="1" x14ac:dyDescent="0.55000000000000004">
      <c r="A55" s="6" t="s">
        <v>110</v>
      </c>
      <c r="B55" s="6" t="s">
        <v>111</v>
      </c>
      <c r="C55" s="6" t="s">
        <v>18</v>
      </c>
      <c r="D55" s="7">
        <v>9722208877</v>
      </c>
      <c r="E55" s="7">
        <v>23818971371</v>
      </c>
      <c r="F55" s="7">
        <v>11959851622</v>
      </c>
      <c r="G55" s="7">
        <f>Table3[[#This Row],[7200300997.0000]]-Table3[[#This Row],[30009523562.0000]]+Table3[[#This Row],[29911541054.0000]]</f>
        <v>21581328626</v>
      </c>
      <c r="H55" s="38">
        <f>(Table3[[#This Row],[7102318489.0000]]/Table3[[#This Row],[Column1]])*100</f>
        <v>2.6699323942454247E-2</v>
      </c>
      <c r="I55" s="22">
        <f>' سهام و صندوق‌های سرمایه‌گذاری'!N57</f>
        <v>80830992846541</v>
      </c>
    </row>
    <row r="56" spans="1:9" ht="23.1" customHeight="1" x14ac:dyDescent="0.55000000000000004">
      <c r="A56" s="6" t="s">
        <v>112</v>
      </c>
      <c r="B56" s="6" t="s">
        <v>113</v>
      </c>
      <c r="C56" s="6" t="s">
        <v>18</v>
      </c>
      <c r="D56" s="7">
        <v>7511463823</v>
      </c>
      <c r="E56" s="7">
        <v>32356823031</v>
      </c>
      <c r="F56" s="7">
        <v>27608063916</v>
      </c>
      <c r="G56" s="7">
        <f>Table3[[#This Row],[7200300997.0000]]-Table3[[#This Row],[30009523562.0000]]+Table3[[#This Row],[29911541054.0000]]</f>
        <v>12260222938</v>
      </c>
      <c r="H56" s="38">
        <f>(Table3[[#This Row],[7102318489.0000]]/Table3[[#This Row],[Column1]])*100</f>
        <v>1.5167725282400329E-2</v>
      </c>
      <c r="I56" s="22">
        <f>' سهام و صندوق‌های سرمایه‌گذاری'!N58</f>
        <v>80830992846541</v>
      </c>
    </row>
    <row r="57" spans="1:9" ht="23.1" customHeight="1" x14ac:dyDescent="0.55000000000000004">
      <c r="A57" s="6" t="s">
        <v>114</v>
      </c>
      <c r="B57" s="6" t="s">
        <v>115</v>
      </c>
      <c r="C57" s="6" t="s">
        <v>18</v>
      </c>
      <c r="D57" s="7">
        <v>10756481181</v>
      </c>
      <c r="E57" s="7">
        <v>24078407154</v>
      </c>
      <c r="F57" s="7">
        <v>23431535136</v>
      </c>
      <c r="G57" s="7">
        <f>Table3[[#This Row],[7200300997.0000]]-Table3[[#This Row],[30009523562.0000]]+Table3[[#This Row],[29911541054.0000]]</f>
        <v>11403353199</v>
      </c>
      <c r="H57" s="38">
        <f>(Table3[[#This Row],[7102318489.0000]]/Table3[[#This Row],[Column1]])*100</f>
        <v>1.4107649550525079E-2</v>
      </c>
      <c r="I57" s="22">
        <f>' سهام و صندوق‌های سرمایه‌گذاری'!N59</f>
        <v>80830992846541</v>
      </c>
    </row>
    <row r="58" spans="1:9" ht="23.1" customHeight="1" x14ac:dyDescent="0.55000000000000004">
      <c r="A58" s="6" t="s">
        <v>116</v>
      </c>
      <c r="B58" s="6" t="s">
        <v>117</v>
      </c>
      <c r="C58" s="6" t="s">
        <v>18</v>
      </c>
      <c r="D58" s="7">
        <v>169887</v>
      </c>
      <c r="E58" s="7">
        <v>1439</v>
      </c>
      <c r="F58" s="7">
        <v>0</v>
      </c>
      <c r="G58" s="7">
        <f>Table3[[#This Row],[7200300997.0000]]-Table3[[#This Row],[30009523562.0000]]+Table3[[#This Row],[29911541054.0000]]</f>
        <v>171326</v>
      </c>
      <c r="H58" s="38">
        <f>(Table3[[#This Row],[7102318489.0000]]/Table3[[#This Row],[Column1]])*100</f>
        <v>2.1195582779153202E-7</v>
      </c>
      <c r="I58" s="22">
        <f>' سهام و صندوق‌های سرمایه‌گذاری'!N60</f>
        <v>80830992846541</v>
      </c>
    </row>
    <row r="59" spans="1:9" ht="23.1" customHeight="1" x14ac:dyDescent="0.55000000000000004">
      <c r="A59" s="6" t="s">
        <v>118</v>
      </c>
      <c r="B59" s="6" t="s">
        <v>119</v>
      </c>
      <c r="C59" s="6" t="s">
        <v>18</v>
      </c>
      <c r="D59" s="7">
        <v>113779</v>
      </c>
      <c r="E59" s="7">
        <v>22166138274</v>
      </c>
      <c r="F59" s="7">
        <v>0</v>
      </c>
      <c r="G59" s="7">
        <f>Table3[[#This Row],[7200300997.0000]]-Table3[[#This Row],[30009523562.0000]]+Table3[[#This Row],[29911541054.0000]]</f>
        <v>22166252053</v>
      </c>
      <c r="H59" s="38">
        <f>(Table3[[#This Row],[7102318489.0000]]/Table3[[#This Row],[Column1]])*100</f>
        <v>2.7422961505722196E-2</v>
      </c>
      <c r="I59" s="22">
        <f>' سهام و صندوق‌های سرمایه‌گذاری'!N61</f>
        <v>80830992846541</v>
      </c>
    </row>
    <row r="60" spans="1:9" ht="23.1" customHeight="1" x14ac:dyDescent="0.55000000000000004">
      <c r="A60" s="6" t="s">
        <v>120</v>
      </c>
      <c r="B60" s="6" t="s">
        <v>121</v>
      </c>
      <c r="C60" s="6" t="s">
        <v>18</v>
      </c>
      <c r="D60" s="7">
        <v>7174437037</v>
      </c>
      <c r="E60" s="7">
        <v>8744945237</v>
      </c>
      <c r="F60" s="7">
        <v>13269707703</v>
      </c>
      <c r="G60" s="7">
        <f>Table3[[#This Row],[7200300997.0000]]-Table3[[#This Row],[30009523562.0000]]+Table3[[#This Row],[29911541054.0000]]</f>
        <v>2649674571</v>
      </c>
      <c r="H60" s="38">
        <f>(Table3[[#This Row],[7102318489.0000]]/Table3[[#This Row],[Column1]])*100</f>
        <v>3.2780428368985298E-3</v>
      </c>
      <c r="I60" s="22">
        <f>' سهام و صندوق‌های سرمایه‌گذاری'!N62</f>
        <v>80830992846541</v>
      </c>
    </row>
    <row r="61" spans="1:9" ht="23.1" customHeight="1" x14ac:dyDescent="0.55000000000000004">
      <c r="A61" s="6" t="s">
        <v>122</v>
      </c>
      <c r="B61" s="6" t="s">
        <v>123</v>
      </c>
      <c r="C61" s="6" t="s">
        <v>18</v>
      </c>
      <c r="D61" s="7">
        <v>4356157627</v>
      </c>
      <c r="E61" s="7">
        <v>17860542698</v>
      </c>
      <c r="F61" s="7">
        <v>14153915134</v>
      </c>
      <c r="G61" s="7">
        <f>Table3[[#This Row],[7200300997.0000]]-Table3[[#This Row],[30009523562.0000]]+Table3[[#This Row],[29911541054.0000]]</f>
        <v>8062785191</v>
      </c>
      <c r="H61" s="38">
        <f>(Table3[[#This Row],[7102318489.0000]]/Table3[[#This Row],[Column1]])*100</f>
        <v>9.9748684348184777E-3</v>
      </c>
      <c r="I61" s="22">
        <f>' سهام و صندوق‌های سرمایه‌گذاری'!N63</f>
        <v>80830992846541</v>
      </c>
    </row>
    <row r="62" spans="1:9" ht="23.1" customHeight="1" x14ac:dyDescent="0.55000000000000004">
      <c r="A62" s="6" t="s">
        <v>124</v>
      </c>
      <c r="B62" s="6" t="s">
        <v>125</v>
      </c>
      <c r="C62" s="6" t="s">
        <v>18</v>
      </c>
      <c r="D62" s="7">
        <v>3909920931</v>
      </c>
      <c r="E62" s="7">
        <v>28852541525</v>
      </c>
      <c r="F62" s="7">
        <v>23130402267</v>
      </c>
      <c r="G62" s="7">
        <f>Table3[[#This Row],[7200300997.0000]]-Table3[[#This Row],[30009523562.0000]]+Table3[[#This Row],[29911541054.0000]]</f>
        <v>9632060189</v>
      </c>
      <c r="H62" s="38">
        <f>(Table3[[#This Row],[7102318489.0000]]/Table3[[#This Row],[Column1]])*100</f>
        <v>1.1916295779375899E-2</v>
      </c>
      <c r="I62" s="22">
        <f>' سهام و صندوق‌های سرمایه‌گذاری'!N64</f>
        <v>80830992846541</v>
      </c>
    </row>
    <row r="63" spans="1:9" ht="23.1" customHeight="1" x14ac:dyDescent="0.55000000000000004">
      <c r="A63" s="6" t="s">
        <v>126</v>
      </c>
      <c r="B63" s="6" t="s">
        <v>127</v>
      </c>
      <c r="C63" s="6" t="s">
        <v>18</v>
      </c>
      <c r="D63" s="7">
        <v>12372682350</v>
      </c>
      <c r="E63" s="7">
        <v>47526583999</v>
      </c>
      <c r="F63" s="7">
        <v>52427607419</v>
      </c>
      <c r="G63" s="7">
        <f>Table3[[#This Row],[7200300997.0000]]-Table3[[#This Row],[30009523562.0000]]+Table3[[#This Row],[29911541054.0000]]</f>
        <v>7471658930</v>
      </c>
      <c r="H63" s="38">
        <f>(Table3[[#This Row],[7102318489.0000]]/Table3[[#This Row],[Column1]])*100</f>
        <v>9.2435570402866016E-3</v>
      </c>
      <c r="I63" s="22">
        <f>' سهام و صندوق‌های سرمایه‌گذاری'!N65</f>
        <v>80830992846541</v>
      </c>
    </row>
    <row r="64" spans="1:9" ht="23.1" customHeight="1" x14ac:dyDescent="0.55000000000000004">
      <c r="A64" s="6" t="s">
        <v>128</v>
      </c>
      <c r="B64" s="6" t="s">
        <v>129</v>
      </c>
      <c r="C64" s="6" t="s">
        <v>18</v>
      </c>
      <c r="D64" s="7">
        <v>18512138429</v>
      </c>
      <c r="E64" s="7">
        <v>7485717313</v>
      </c>
      <c r="F64" s="7">
        <v>15514740225</v>
      </c>
      <c r="G64" s="7">
        <f>Table3[[#This Row],[7200300997.0000]]-Table3[[#This Row],[30009523562.0000]]+Table3[[#This Row],[29911541054.0000]]</f>
        <v>10483115517</v>
      </c>
      <c r="H64" s="38">
        <f>(Table3[[#This Row],[7102318489.0000]]/Table3[[#This Row],[Column1]])*100</f>
        <v>1.2969178217199893E-2</v>
      </c>
      <c r="I64" s="22">
        <f>' سهام و صندوق‌های سرمایه‌گذاری'!N66</f>
        <v>80830992846541</v>
      </c>
    </row>
    <row r="65" spans="1:9" ht="23.1" customHeight="1" x14ac:dyDescent="0.55000000000000004">
      <c r="A65" s="6" t="s">
        <v>130</v>
      </c>
      <c r="B65" s="6" t="s">
        <v>131</v>
      </c>
      <c r="C65" s="6" t="s">
        <v>18</v>
      </c>
      <c r="D65" s="7">
        <v>13392231105</v>
      </c>
      <c r="E65" s="7">
        <v>25595766129</v>
      </c>
      <c r="F65" s="7">
        <v>27395167906</v>
      </c>
      <c r="G65" s="7">
        <f>Table3[[#This Row],[7200300997.0000]]-Table3[[#This Row],[30009523562.0000]]+Table3[[#This Row],[29911541054.0000]]</f>
        <v>11592829328</v>
      </c>
      <c r="H65" s="38">
        <f>(Table3[[#This Row],[7102318489.0000]]/Table3[[#This Row],[Column1]])*100</f>
        <v>1.4342059796307566E-2</v>
      </c>
      <c r="I65" s="22">
        <f>' سهام و صندوق‌های سرمایه‌گذاری'!N67</f>
        <v>80830992846541</v>
      </c>
    </row>
    <row r="66" spans="1:9" ht="23.1" customHeight="1" x14ac:dyDescent="0.55000000000000004">
      <c r="A66" s="6" t="s">
        <v>132</v>
      </c>
      <c r="B66" s="6" t="s">
        <v>133</v>
      </c>
      <c r="C66" s="6" t="s">
        <v>18</v>
      </c>
      <c r="D66" s="7">
        <v>2414672032</v>
      </c>
      <c r="E66" s="7">
        <v>4313580114</v>
      </c>
      <c r="F66" s="7">
        <v>2277221014</v>
      </c>
      <c r="G66" s="7">
        <f>Table3[[#This Row],[7200300997.0000]]-Table3[[#This Row],[30009523562.0000]]+Table3[[#This Row],[29911541054.0000]]</f>
        <v>4451031132</v>
      </c>
      <c r="H66" s="38">
        <f>(Table3[[#This Row],[7102318489.0000]]/Table3[[#This Row],[Column1]])*100</f>
        <v>5.5065897068100568E-3</v>
      </c>
      <c r="I66" s="22">
        <f>' سهام و صندوق‌های سرمایه‌گذاری'!N68</f>
        <v>80830992846541</v>
      </c>
    </row>
    <row r="67" spans="1:9" ht="23.1" customHeight="1" x14ac:dyDescent="0.55000000000000004">
      <c r="A67" s="6" t="s">
        <v>134</v>
      </c>
      <c r="B67" s="6" t="s">
        <v>135</v>
      </c>
      <c r="C67" s="6" t="s">
        <v>18</v>
      </c>
      <c r="D67" s="7">
        <v>4903202798</v>
      </c>
      <c r="E67" s="7">
        <v>84797872860</v>
      </c>
      <c r="F67" s="7">
        <v>77685138057</v>
      </c>
      <c r="G67" s="7">
        <f>Table3[[#This Row],[7200300997.0000]]-Table3[[#This Row],[30009523562.0000]]+Table3[[#This Row],[29911541054.0000]]</f>
        <v>12015937601</v>
      </c>
      <c r="H67" s="38">
        <f>(Table3[[#This Row],[7102318489.0000]]/Table3[[#This Row],[Column1]])*100</f>
        <v>1.4865507867523612E-2</v>
      </c>
      <c r="I67" s="22">
        <f>' سهام و صندوق‌های سرمایه‌گذاری'!N69</f>
        <v>80830992846541</v>
      </c>
    </row>
    <row r="68" spans="1:9" ht="23.1" customHeight="1" x14ac:dyDescent="0.55000000000000004">
      <c r="A68" s="6" t="s">
        <v>136</v>
      </c>
      <c r="B68" s="6" t="s">
        <v>137</v>
      </c>
      <c r="C68" s="6" t="s">
        <v>18</v>
      </c>
      <c r="D68" s="7">
        <v>4579188983</v>
      </c>
      <c r="E68" s="7">
        <v>14957442577</v>
      </c>
      <c r="F68" s="7">
        <v>11076466521</v>
      </c>
      <c r="G68" s="7">
        <f>Table3[[#This Row],[7200300997.0000]]-Table3[[#This Row],[30009523562.0000]]+Table3[[#This Row],[29911541054.0000]]</f>
        <v>8460165039</v>
      </c>
      <c r="H68" s="38">
        <f>(Table3[[#This Row],[7102318489.0000]]/Table3[[#This Row],[Column1]])*100</f>
        <v>1.0466486605034984E-2</v>
      </c>
      <c r="I68" s="22">
        <f>' سهام و صندوق‌های سرمایه‌گذاری'!N70</f>
        <v>80830992846541</v>
      </c>
    </row>
    <row r="69" spans="1:9" ht="23.1" customHeight="1" x14ac:dyDescent="0.55000000000000004">
      <c r="A69" s="6" t="s">
        <v>138</v>
      </c>
      <c r="B69" s="6" t="s">
        <v>139</v>
      </c>
      <c r="C69" s="6" t="s">
        <v>18</v>
      </c>
      <c r="D69" s="7">
        <v>26988159450</v>
      </c>
      <c r="E69" s="7">
        <v>3696863161</v>
      </c>
      <c r="F69" s="7">
        <v>10602417076</v>
      </c>
      <c r="G69" s="7">
        <f>Table3[[#This Row],[7200300997.0000]]-Table3[[#This Row],[30009523562.0000]]+Table3[[#This Row],[29911541054.0000]]</f>
        <v>20082605535</v>
      </c>
      <c r="H69" s="38">
        <f>(Table3[[#This Row],[7102318489.0000]]/Table3[[#This Row],[Column1]])*100</f>
        <v>2.4845179834827914E-2</v>
      </c>
      <c r="I69" s="22">
        <f>' سهام و صندوق‌های سرمایه‌گذاری'!N72</f>
        <v>80830992846541</v>
      </c>
    </row>
    <row r="70" spans="1:9" ht="23.1" customHeight="1" x14ac:dyDescent="0.55000000000000004">
      <c r="A70" s="6" t="s">
        <v>140</v>
      </c>
      <c r="B70" s="6" t="s">
        <v>141</v>
      </c>
      <c r="C70" s="6" t="s">
        <v>18</v>
      </c>
      <c r="D70" s="7">
        <v>1891064048</v>
      </c>
      <c r="E70" s="7">
        <v>6439613038829</v>
      </c>
      <c r="F70" s="7">
        <v>6140558664175</v>
      </c>
      <c r="G70" s="7">
        <f>Table3[[#This Row],[7200300997.0000]]-Table3[[#This Row],[30009523562.0000]]+Table3[[#This Row],[29911541054.0000]]</f>
        <v>300945438702</v>
      </c>
      <c r="H70" s="38">
        <f>(Table3[[#This Row],[7102318489.0000]]/Table3[[#This Row],[Column1]])*100</f>
        <v>0.37231441567636064</v>
      </c>
      <c r="I70" s="22">
        <f>' سهام و صندوق‌های سرمایه‌گذاری'!N73</f>
        <v>80830992846541</v>
      </c>
    </row>
    <row r="71" spans="1:9" ht="23.1" customHeight="1" x14ac:dyDescent="0.55000000000000004">
      <c r="A71" s="6" t="s">
        <v>142</v>
      </c>
      <c r="B71" s="6" t="s">
        <v>143</v>
      </c>
      <c r="C71" s="6" t="s">
        <v>18</v>
      </c>
      <c r="D71" s="7">
        <v>17020476062</v>
      </c>
      <c r="E71" s="7">
        <v>23152483375</v>
      </c>
      <c r="F71" s="7">
        <v>26541348952</v>
      </c>
      <c r="G71" s="7">
        <f>Table3[[#This Row],[7200300997.0000]]-Table3[[#This Row],[30009523562.0000]]+Table3[[#This Row],[29911541054.0000]]</f>
        <v>13631610485</v>
      </c>
      <c r="H71" s="38">
        <f>(Table3[[#This Row],[7102318489.0000]]/Table3[[#This Row],[Column1]])*100</f>
        <v>1.6864336320697979E-2</v>
      </c>
      <c r="I71" s="22">
        <f>' سهام و صندوق‌های سرمایه‌گذاری'!N74</f>
        <v>80830992846541</v>
      </c>
    </row>
    <row r="72" spans="1:9" ht="23.1" customHeight="1" x14ac:dyDescent="0.55000000000000004">
      <c r="A72" s="6" t="s">
        <v>144</v>
      </c>
      <c r="B72" s="6" t="s">
        <v>145</v>
      </c>
      <c r="C72" s="6" t="s">
        <v>18</v>
      </c>
      <c r="D72" s="7">
        <v>65444638142</v>
      </c>
      <c r="E72" s="7">
        <v>701087906616</v>
      </c>
      <c r="F72" s="7">
        <v>695707681874</v>
      </c>
      <c r="G72" s="7">
        <f>Table3[[#This Row],[7200300997.0000]]-Table3[[#This Row],[30009523562.0000]]+Table3[[#This Row],[29911541054.0000]]</f>
        <v>70824862884</v>
      </c>
      <c r="H72" s="38">
        <f>(Table3[[#This Row],[7102318489.0000]]/Table3[[#This Row],[Column1]])*100</f>
        <v>8.7620924090914237E-2</v>
      </c>
      <c r="I72" s="22">
        <f>' سهام و صندوق‌های سرمایه‌گذاری'!N75</f>
        <v>80830992846541</v>
      </c>
    </row>
    <row r="73" spans="1:9" ht="23.1" customHeight="1" x14ac:dyDescent="0.55000000000000004">
      <c r="A73" s="6" t="s">
        <v>146</v>
      </c>
      <c r="B73" s="6" t="s">
        <v>147</v>
      </c>
      <c r="C73" s="6" t="s">
        <v>18</v>
      </c>
      <c r="D73" s="7">
        <v>35369420</v>
      </c>
      <c r="E73" s="7">
        <v>298029</v>
      </c>
      <c r="F73" s="7">
        <v>0</v>
      </c>
      <c r="G73" s="7">
        <f>Table3[[#This Row],[7200300997.0000]]-Table3[[#This Row],[30009523562.0000]]+Table3[[#This Row],[29911541054.0000]]</f>
        <v>35667449</v>
      </c>
      <c r="H73" s="38">
        <f>(Table3[[#This Row],[7102318489.0000]]/Table3[[#This Row],[Column1]])*100</f>
        <v>4.4125956819205791E-5</v>
      </c>
      <c r="I73" s="22">
        <f>' سهام و صندوق‌های سرمایه‌گذاری'!N76</f>
        <v>80830992846541</v>
      </c>
    </row>
    <row r="74" spans="1:9" ht="23.1" customHeight="1" x14ac:dyDescent="0.55000000000000004">
      <c r="A74" s="6" t="s">
        <v>148</v>
      </c>
      <c r="B74" s="6" t="s">
        <v>149</v>
      </c>
      <c r="C74" s="6" t="s">
        <v>18</v>
      </c>
      <c r="D74" s="7">
        <v>2683876418</v>
      </c>
      <c r="E74" s="7">
        <v>18022446863</v>
      </c>
      <c r="F74" s="7">
        <v>2237352000</v>
      </c>
      <c r="G74" s="7">
        <f>Table3[[#This Row],[7200300997.0000]]-Table3[[#This Row],[30009523562.0000]]+Table3[[#This Row],[29911541054.0000]]</f>
        <v>18468971281</v>
      </c>
      <c r="H74" s="38">
        <f>(Table3[[#This Row],[7102318489.0000]]/Table3[[#This Row],[Column1]])*100</f>
        <v>2.2848873471174171E-2</v>
      </c>
      <c r="I74" s="22">
        <f>' سهام و صندوق‌های سرمایه‌گذاری'!N77</f>
        <v>80830992846541</v>
      </c>
    </row>
    <row r="75" spans="1:9" ht="23.1" customHeight="1" x14ac:dyDescent="0.55000000000000004">
      <c r="A75" s="6" t="s">
        <v>150</v>
      </c>
      <c r="B75" s="6" t="s">
        <v>151</v>
      </c>
      <c r="C75" s="6" t="s">
        <v>18</v>
      </c>
      <c r="D75" s="7">
        <v>3756056580</v>
      </c>
      <c r="E75" s="7">
        <v>64593664517</v>
      </c>
      <c r="F75" s="7">
        <v>57677383731</v>
      </c>
      <c r="G75" s="7">
        <f>Table3[[#This Row],[7200300997.0000]]-Table3[[#This Row],[30009523562.0000]]+Table3[[#This Row],[29911541054.0000]]</f>
        <v>10672337366</v>
      </c>
      <c r="H75" s="38">
        <f>(Table3[[#This Row],[7102318489.0000]]/Table3[[#This Row],[Column1]])*100</f>
        <v>1.3203273880677937E-2</v>
      </c>
      <c r="I75" s="22">
        <f>' سهام و صندوق‌های سرمایه‌گذاری'!N78</f>
        <v>80830992846541</v>
      </c>
    </row>
    <row r="76" spans="1:9" ht="23.1" customHeight="1" x14ac:dyDescent="0.55000000000000004">
      <c r="A76" s="6" t="s">
        <v>152</v>
      </c>
      <c r="B76" s="6" t="s">
        <v>153</v>
      </c>
      <c r="C76" s="6" t="s">
        <v>18</v>
      </c>
      <c r="D76" s="7">
        <v>9753518990</v>
      </c>
      <c r="E76" s="7">
        <v>27338275541</v>
      </c>
      <c r="F76" s="7">
        <v>27239324761</v>
      </c>
      <c r="G76" s="7">
        <f>Table3[[#This Row],[7200300997.0000]]-Table3[[#This Row],[30009523562.0000]]+Table3[[#This Row],[29911541054.0000]]</f>
        <v>9852469770</v>
      </c>
      <c r="H76" s="38">
        <f>(Table3[[#This Row],[7102318489.0000]]/Table3[[#This Row],[Column1]])*100</f>
        <v>1.218897532126703E-2</v>
      </c>
      <c r="I76" s="22">
        <f>' سهام و صندوق‌های سرمایه‌گذاری'!N79</f>
        <v>80830992846541</v>
      </c>
    </row>
    <row r="77" spans="1:9" ht="23.1" customHeight="1" x14ac:dyDescent="0.55000000000000004">
      <c r="A77" s="6" t="s">
        <v>154</v>
      </c>
      <c r="B77" s="6" t="s">
        <v>155</v>
      </c>
      <c r="C77" s="6" t="s">
        <v>18</v>
      </c>
      <c r="D77" s="7">
        <v>7094530370</v>
      </c>
      <c r="E77" s="7">
        <v>35489762444</v>
      </c>
      <c r="F77" s="7">
        <v>26597693679</v>
      </c>
      <c r="G77" s="7">
        <f>Table3[[#This Row],[7200300997.0000]]-Table3[[#This Row],[30009523562.0000]]+Table3[[#This Row],[29911541054.0000]]</f>
        <v>15986599135</v>
      </c>
      <c r="H77" s="38">
        <f>(Table3[[#This Row],[7102318489.0000]]/Table3[[#This Row],[Column1]])*100</f>
        <v>1.9777808699381966E-2</v>
      </c>
      <c r="I77" s="22">
        <f>' سهام و صندوق‌های سرمایه‌گذاری'!N80</f>
        <v>80830992846541</v>
      </c>
    </row>
    <row r="78" spans="1:9" ht="23.1" customHeight="1" x14ac:dyDescent="0.55000000000000004">
      <c r="A78" s="6" t="s">
        <v>156</v>
      </c>
      <c r="B78" s="6" t="s">
        <v>157</v>
      </c>
      <c r="C78" s="6" t="s">
        <v>18</v>
      </c>
      <c r="D78" s="7">
        <v>10468088461</v>
      </c>
      <c r="E78" s="7">
        <v>8184054064</v>
      </c>
      <c r="F78" s="7">
        <v>5597272926</v>
      </c>
      <c r="G78" s="7">
        <f>Table3[[#This Row],[7200300997.0000]]-Table3[[#This Row],[30009523562.0000]]+Table3[[#This Row],[29911541054.0000]]</f>
        <v>13054869599</v>
      </c>
      <c r="H78" s="38">
        <f>(Table3[[#This Row],[7102318489.0000]]/Table3[[#This Row],[Column1]])*100</f>
        <v>1.6150821781670911E-2</v>
      </c>
      <c r="I78" s="22">
        <f>' سهام و صندوق‌های سرمایه‌گذاری'!N81</f>
        <v>80830992846541</v>
      </c>
    </row>
    <row r="79" spans="1:9" ht="23.1" customHeight="1" x14ac:dyDescent="0.55000000000000004">
      <c r="A79" s="6" t="s">
        <v>158</v>
      </c>
      <c r="B79" s="6" t="s">
        <v>159</v>
      </c>
      <c r="C79" s="6" t="s">
        <v>18</v>
      </c>
      <c r="D79" s="7">
        <v>4011554766</v>
      </c>
      <c r="E79" s="7">
        <v>93845734144</v>
      </c>
      <c r="F79" s="7">
        <v>89147218766</v>
      </c>
      <c r="G79" s="7">
        <f>Table3[[#This Row],[7200300997.0000]]-Table3[[#This Row],[30009523562.0000]]+Table3[[#This Row],[29911541054.0000]]</f>
        <v>8710070144</v>
      </c>
      <c r="H79" s="38">
        <f>(Table3[[#This Row],[7102318489.0000]]/Table3[[#This Row],[Column1]])*100</f>
        <v>1.0775656511526729E-2</v>
      </c>
      <c r="I79" s="22">
        <f>' سهام و صندوق‌های سرمایه‌گذاری'!N82</f>
        <v>80830992846541</v>
      </c>
    </row>
    <row r="80" spans="1:9" ht="23.1" customHeight="1" x14ac:dyDescent="0.55000000000000004">
      <c r="A80" s="6" t="s">
        <v>160</v>
      </c>
      <c r="B80" s="6" t="s">
        <v>161</v>
      </c>
      <c r="C80" s="6" t="s">
        <v>18</v>
      </c>
      <c r="D80" s="7">
        <v>14098822787</v>
      </c>
      <c r="E80" s="7">
        <v>38055324979</v>
      </c>
      <c r="F80" s="7">
        <v>35780033227</v>
      </c>
      <c r="G80" s="7">
        <f>Table3[[#This Row],[7200300997.0000]]-Table3[[#This Row],[30009523562.0000]]+Table3[[#This Row],[29911541054.0000]]</f>
        <v>16374114539</v>
      </c>
      <c r="H80" s="38">
        <f>(Table3[[#This Row],[7102318489.0000]]/Table3[[#This Row],[Column1]])*100</f>
        <v>2.0257223080367863E-2</v>
      </c>
      <c r="I80" s="22">
        <f>' سهام و صندوق‌های سرمایه‌گذاری'!N83</f>
        <v>80830992846541</v>
      </c>
    </row>
    <row r="81" spans="1:9" ht="23.1" customHeight="1" x14ac:dyDescent="0.55000000000000004">
      <c r="A81" s="6" t="s">
        <v>162</v>
      </c>
      <c r="B81" s="6" t="s">
        <v>163</v>
      </c>
      <c r="C81" s="6" t="s">
        <v>18</v>
      </c>
      <c r="D81" s="7">
        <v>27049460645</v>
      </c>
      <c r="E81" s="7">
        <v>16321309007</v>
      </c>
      <c r="F81" s="7">
        <v>22939913228</v>
      </c>
      <c r="G81" s="7">
        <f>Table3[[#This Row],[7200300997.0000]]-Table3[[#This Row],[30009523562.0000]]+Table3[[#This Row],[29911541054.0000]]</f>
        <v>20430856424</v>
      </c>
      <c r="H81" s="38">
        <f>(Table3[[#This Row],[7102318489.0000]]/Table3[[#This Row],[Column1]])*100</f>
        <v>2.5276018151587382E-2</v>
      </c>
      <c r="I81" s="22">
        <f>' سهام و صندوق‌های سرمایه‌گذاری'!N84</f>
        <v>80830992846541</v>
      </c>
    </row>
    <row r="82" spans="1:9" ht="23.1" customHeight="1" x14ac:dyDescent="0.55000000000000004">
      <c r="A82" s="6" t="s">
        <v>164</v>
      </c>
      <c r="B82" s="6" t="s">
        <v>165</v>
      </c>
      <c r="C82" s="6" t="s">
        <v>18</v>
      </c>
      <c r="D82" s="7">
        <v>22805832331</v>
      </c>
      <c r="E82" s="7">
        <v>10446508797</v>
      </c>
      <c r="F82" s="7">
        <v>22440098439</v>
      </c>
      <c r="G82" s="7">
        <f>Table3[[#This Row],[7200300997.0000]]-Table3[[#This Row],[30009523562.0000]]+Table3[[#This Row],[29911541054.0000]]</f>
        <v>10812242689</v>
      </c>
      <c r="H82" s="38">
        <f>(Table3[[#This Row],[7102318489.0000]]/Table3[[#This Row],[Column1]])*100</f>
        <v>1.3376357642330616E-2</v>
      </c>
      <c r="I82" s="22">
        <f>' سهام و صندوق‌های سرمایه‌گذاری'!N85</f>
        <v>80830992846541</v>
      </c>
    </row>
    <row r="83" spans="1:9" ht="23.1" customHeight="1" x14ac:dyDescent="0.55000000000000004">
      <c r="A83" s="6" t="s">
        <v>166</v>
      </c>
      <c r="B83" s="6" t="s">
        <v>167</v>
      </c>
      <c r="C83" s="6" t="s">
        <v>18</v>
      </c>
      <c r="D83" s="7">
        <v>17703327564</v>
      </c>
      <c r="E83" s="7">
        <v>34238458766</v>
      </c>
      <c r="F83" s="7">
        <v>32436217732</v>
      </c>
      <c r="G83" s="7">
        <f>Table3[[#This Row],[7200300997.0000]]-Table3[[#This Row],[30009523562.0000]]+Table3[[#This Row],[29911541054.0000]]</f>
        <v>19505568598</v>
      </c>
      <c r="H83" s="38">
        <f>(Table3[[#This Row],[7102318489.0000]]/Table3[[#This Row],[Column1]])*100</f>
        <v>2.4131299036536207E-2</v>
      </c>
      <c r="I83" s="22">
        <f>' سهام و صندوق‌های سرمایه‌گذاری'!N86</f>
        <v>80830992846541</v>
      </c>
    </row>
    <row r="84" spans="1:9" ht="23.1" customHeight="1" x14ac:dyDescent="0.55000000000000004">
      <c r="A84" s="6" t="s">
        <v>168</v>
      </c>
      <c r="B84" s="6" t="s">
        <v>169</v>
      </c>
      <c r="C84" s="6" t="s">
        <v>18</v>
      </c>
      <c r="D84" s="7">
        <v>12502400043</v>
      </c>
      <c r="E84" s="7">
        <v>62217509850</v>
      </c>
      <c r="F84" s="7">
        <v>64661064962</v>
      </c>
      <c r="G84" s="7">
        <f>Table3[[#This Row],[7200300997.0000]]-Table3[[#This Row],[30009523562.0000]]+Table3[[#This Row],[29911541054.0000]]</f>
        <v>10058844931</v>
      </c>
      <c r="H84" s="38">
        <f>(Table3[[#This Row],[7102318489.0000]]/Table3[[#This Row],[Column1]])*100</f>
        <v>1.2444292191358933E-2</v>
      </c>
      <c r="I84" s="22">
        <f>' سهام و صندوق‌های سرمایه‌گذاری'!N87</f>
        <v>80830992846541</v>
      </c>
    </row>
    <row r="85" spans="1:9" ht="23.1" customHeight="1" x14ac:dyDescent="0.55000000000000004">
      <c r="A85" s="6" t="s">
        <v>170</v>
      </c>
      <c r="B85" s="6" t="s">
        <v>171</v>
      </c>
      <c r="C85" s="6" t="s">
        <v>18</v>
      </c>
      <c r="D85" s="7">
        <v>7146157740</v>
      </c>
      <c r="E85" s="7">
        <v>76051459961</v>
      </c>
      <c r="F85" s="7">
        <v>58966574071</v>
      </c>
      <c r="G85" s="7">
        <f>Table3[[#This Row],[7200300997.0000]]-Table3[[#This Row],[30009523562.0000]]+Table3[[#This Row],[29911541054.0000]]</f>
        <v>24231043630</v>
      </c>
      <c r="H85" s="38">
        <f>(Table3[[#This Row],[7102318489.0000]]/Table3[[#This Row],[Column1]])*100</f>
        <v>2.9977416801007312E-2</v>
      </c>
      <c r="I85" s="22">
        <f>' سهام و صندوق‌های سرمایه‌گذاری'!N88</f>
        <v>80830992846541</v>
      </c>
    </row>
    <row r="86" spans="1:9" ht="23.1" customHeight="1" x14ac:dyDescent="0.55000000000000004">
      <c r="A86" s="6" t="s">
        <v>172</v>
      </c>
      <c r="B86" s="6" t="s">
        <v>173</v>
      </c>
      <c r="C86" s="6" t="s">
        <v>18</v>
      </c>
      <c r="D86" s="7">
        <v>20794273207</v>
      </c>
      <c r="E86" s="7">
        <v>14398531892</v>
      </c>
      <c r="F86" s="7">
        <v>23786073623</v>
      </c>
      <c r="G86" s="7">
        <f>Table3[[#This Row],[7200300997.0000]]-Table3[[#This Row],[30009523562.0000]]+Table3[[#This Row],[29911541054.0000]]</f>
        <v>11406731476</v>
      </c>
      <c r="H86" s="38">
        <f>(Table3[[#This Row],[7102318489.0000]]/Table3[[#This Row],[Column1]])*100</f>
        <v>1.4111828983290942E-2</v>
      </c>
      <c r="I86" s="22">
        <f>' سهام و صندوق‌های سرمایه‌گذاری'!N89</f>
        <v>80830992846541</v>
      </c>
    </row>
    <row r="87" spans="1:9" ht="23.1" customHeight="1" x14ac:dyDescent="0.55000000000000004">
      <c r="A87" s="6" t="s">
        <v>174</v>
      </c>
      <c r="B87" s="6" t="s">
        <v>175</v>
      </c>
      <c r="C87" s="6" t="s">
        <v>18</v>
      </c>
      <c r="D87" s="7">
        <v>15015200347</v>
      </c>
      <c r="E87" s="7">
        <v>39111054435</v>
      </c>
      <c r="F87" s="7">
        <v>37025277712</v>
      </c>
      <c r="G87" s="7">
        <f>Table3[[#This Row],[7200300997.0000]]-Table3[[#This Row],[30009523562.0000]]+Table3[[#This Row],[29911541054.0000]]</f>
        <v>17100977070</v>
      </c>
      <c r="H87" s="38">
        <f>(Table3[[#This Row],[7102318489.0000]]/Table3[[#This Row],[Column1]])*100</f>
        <v>2.1156460495872532E-2</v>
      </c>
      <c r="I87" s="22">
        <f>' سهام و صندوق‌های سرمایه‌گذاری'!N90</f>
        <v>80830992846541</v>
      </c>
    </row>
    <row r="88" spans="1:9" ht="23.1" customHeight="1" x14ac:dyDescent="0.55000000000000004">
      <c r="A88" s="6" t="s">
        <v>176</v>
      </c>
      <c r="B88" s="6" t="s">
        <v>177</v>
      </c>
      <c r="C88" s="6" t="s">
        <v>18</v>
      </c>
      <c r="D88" s="7">
        <v>4614918290</v>
      </c>
      <c r="E88" s="7">
        <v>20078090722</v>
      </c>
      <c r="F88" s="7">
        <v>10287924802</v>
      </c>
      <c r="G88" s="7">
        <f>Table3[[#This Row],[7200300997.0000]]-Table3[[#This Row],[30009523562.0000]]+Table3[[#This Row],[29911541054.0000]]</f>
        <v>14405084210</v>
      </c>
      <c r="H88" s="38">
        <f>(Table3[[#This Row],[7102318489.0000]]/Table3[[#This Row],[Column1]])*100</f>
        <v>1.7821238738646071E-2</v>
      </c>
      <c r="I88" s="22">
        <f>' سهام و صندوق‌های سرمایه‌گذاری'!N91</f>
        <v>80830992846541</v>
      </c>
    </row>
    <row r="89" spans="1:9" ht="23.1" customHeight="1" thickBot="1" x14ac:dyDescent="0.6">
      <c r="A89" s="6" t="s">
        <v>178</v>
      </c>
      <c r="B89" s="6"/>
      <c r="C89" s="6"/>
      <c r="D89" s="40">
        <f>SUM(D9:D88)</f>
        <v>973576938482</v>
      </c>
      <c r="E89" s="40">
        <f>SUM(E9:E88)</f>
        <v>9749824637050</v>
      </c>
      <c r="F89" s="40">
        <f>SUM(F9:F88)</f>
        <v>9421218958020</v>
      </c>
      <c r="G89" s="40">
        <f>SUM(G9:G88)</f>
        <v>1302182617512</v>
      </c>
      <c r="H89" s="41">
        <f>SUM(H9:H88)</f>
        <v>1.6109942135490225</v>
      </c>
      <c r="I89" s="22">
        <f>' سهام و صندوق‌های سرمایه‌گذاری'!N92</f>
        <v>80830992846541</v>
      </c>
    </row>
    <row r="90" spans="1:9" ht="23.1" customHeight="1" thickTop="1" x14ac:dyDescent="0.55000000000000004">
      <c r="A90" s="28" t="s">
        <v>179</v>
      </c>
      <c r="B90" s="28"/>
      <c r="C90" s="28"/>
      <c r="D90" s="29"/>
      <c r="E90" s="52"/>
      <c r="F90" s="52"/>
      <c r="G90" s="29">
        <v>1302182617512</v>
      </c>
      <c r="H90" s="44"/>
    </row>
    <row r="94" spans="1:9" x14ac:dyDescent="0.55000000000000004">
      <c r="C94" s="23" t="s">
        <v>180</v>
      </c>
    </row>
  </sheetData>
  <mergeCells count="15">
    <mergeCell ref="A1:H1"/>
    <mergeCell ref="A2:H2"/>
    <mergeCell ref="A3:H3"/>
    <mergeCell ref="H7:H8"/>
    <mergeCell ref="A4:H4"/>
    <mergeCell ref="G6:H6"/>
    <mergeCell ref="G7:G8"/>
    <mergeCell ref="A7:A8"/>
    <mergeCell ref="D7:D8"/>
    <mergeCell ref="B7:B8"/>
    <mergeCell ref="C7:C8"/>
    <mergeCell ref="E7:E8"/>
    <mergeCell ref="F7:F8"/>
    <mergeCell ref="B6:C6"/>
    <mergeCell ref="E6:F6"/>
  </mergeCells>
  <pageMargins left="0.7" right="0.7" top="0.75" bottom="0.75" header="0.3" footer="0.3"/>
  <pageSetup paperSize="9" scale="81" orientation="landscape" r:id="rId1"/>
  <headerFooter differentOddEven="1" differentFirst="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rightToLeft="1" zoomScale="106" zoomScaleNormal="106" workbookViewId="0">
      <selection activeCell="D20" sqref="D20"/>
    </sheetView>
  </sheetViews>
  <sheetFormatPr defaultColWidth="0" defaultRowHeight="22.5" x14ac:dyDescent="0.6"/>
  <cols>
    <col min="1" max="1" width="55.85546875" style="31" customWidth="1"/>
    <col min="2" max="2" width="9.42578125" style="8" customWidth="1"/>
    <col min="3" max="3" width="16.42578125" style="8" customWidth="1"/>
    <col min="4" max="4" width="18.85546875" style="8" customWidth="1"/>
    <col min="5" max="5" width="19.85546875" style="8" customWidth="1"/>
    <col min="6" max="19" width="0.7109375" style="1" customWidth="1"/>
    <col min="20" max="20" width="0" style="1" hidden="1" customWidth="1"/>
    <col min="21" max="16384" width="0" style="1" hidden="1"/>
  </cols>
  <sheetData>
    <row r="1" spans="1:19" ht="25.5" x14ac:dyDescent="0.6">
      <c r="A1" s="79" t="s">
        <v>0</v>
      </c>
      <c r="B1" s="79"/>
      <c r="C1" s="79"/>
      <c r="D1" s="79"/>
    </row>
    <row r="2" spans="1:19" ht="25.5" x14ac:dyDescent="0.6">
      <c r="A2" s="79" t="s">
        <v>316</v>
      </c>
      <c r="B2" s="79"/>
      <c r="C2" s="79"/>
      <c r="D2" s="79"/>
    </row>
    <row r="3" spans="1:19" ht="25.5" x14ac:dyDescent="0.6">
      <c r="A3" s="79" t="s">
        <v>317</v>
      </c>
      <c r="B3" s="79"/>
      <c r="C3" s="79"/>
      <c r="D3" s="79"/>
    </row>
    <row r="4" spans="1:19" ht="25.5" x14ac:dyDescent="0.6">
      <c r="A4" s="80" t="s">
        <v>352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ht="23.25" thickBot="1" x14ac:dyDescent="0.65">
      <c r="A5" s="19" t="s">
        <v>348</v>
      </c>
      <c r="B5" s="19" t="s">
        <v>353</v>
      </c>
      <c r="C5" s="19" t="s">
        <v>12</v>
      </c>
      <c r="D5" s="19" t="s">
        <v>354</v>
      </c>
      <c r="E5" s="19" t="s">
        <v>355</v>
      </c>
    </row>
    <row r="6" spans="1:19" ht="23.1" customHeight="1" x14ac:dyDescent="0.6">
      <c r="A6" s="6" t="s">
        <v>356</v>
      </c>
      <c r="B6" s="6" t="s">
        <v>357</v>
      </c>
      <c r="C6" s="7">
        <f>'درآمد سرمایه گذاری در سهام و ص '!J100</f>
        <v>13355208322800</v>
      </c>
      <c r="D6" s="38">
        <f>(Table11[[#This Row],[4064846521314.0000]]/C10)*100</f>
        <v>98.388989491031481</v>
      </c>
      <c r="E6" s="38">
        <f>(Table11[[#This Row],[4064846521314.0000]]/D12)*100</f>
        <v>16.522385600477637</v>
      </c>
    </row>
    <row r="7" spans="1:19" ht="23.1" customHeight="1" x14ac:dyDescent="0.6">
      <c r="A7" s="6" t="s">
        <v>358</v>
      </c>
      <c r="B7" s="6" t="s">
        <v>359</v>
      </c>
      <c r="C7" s="7">
        <f>'درآمد سرمایه گذاری در اوراق بها'!I29</f>
        <v>171427356525</v>
      </c>
      <c r="D7" s="38">
        <f>(Table11[[#This Row],[4064846521314.0000]]/C10)*100</f>
        <v>1.2629203507682427</v>
      </c>
      <c r="E7" s="38">
        <f>(Table11[[#This Row],[4064846521314.0000]]/D12)*100</f>
        <v>0.21208122093768875</v>
      </c>
    </row>
    <row r="8" spans="1:19" ht="23.1" customHeight="1" x14ac:dyDescent="0.6">
      <c r="A8" s="6" t="s">
        <v>360</v>
      </c>
      <c r="B8" s="6" t="s">
        <v>361</v>
      </c>
      <c r="C8" s="7">
        <f>'درآمد سپرده بانکی'!D87</f>
        <v>2870557230</v>
      </c>
      <c r="D8" s="38">
        <f>(Table11[[#This Row],[4064846521314.0000]]/C10)*100</f>
        <v>2.1147646544285508E-2</v>
      </c>
      <c r="E8" s="38">
        <f>(Table11[[#This Row],[4064846521314.0000]]/D12)*100</f>
        <v>3.5513076468698104E-3</v>
      </c>
    </row>
    <row r="9" spans="1:19" ht="23.1" customHeight="1" x14ac:dyDescent="0.6">
      <c r="A9" s="6" t="s">
        <v>338</v>
      </c>
      <c r="B9" s="6" t="s">
        <v>362</v>
      </c>
      <c r="C9" s="7">
        <f>Table12[[#This Row],[44378800670.0000]]</f>
        <v>44378800670</v>
      </c>
      <c r="D9" s="38">
        <f>(Table11[[#This Row],[4064846521314.0000]]/C10)*100</f>
        <v>0.32694251165598981</v>
      </c>
      <c r="E9" s="38">
        <f>(Table11[[#This Row],[4064846521314.0000]]/D12)*100</f>
        <v>5.4903198769627758E-2</v>
      </c>
    </row>
    <row r="10" spans="1:19" ht="23.1" customHeight="1" thickBot="1" x14ac:dyDescent="0.65">
      <c r="A10" s="6" t="s">
        <v>178</v>
      </c>
      <c r="B10" s="6"/>
      <c r="C10" s="40">
        <f>SUM(C6:C9)</f>
        <v>13573885037225</v>
      </c>
      <c r="D10" s="41">
        <f>SUM(D6:D9)</f>
        <v>99.999999999999986</v>
      </c>
      <c r="E10" s="41">
        <f>SUM(E6:E9)</f>
        <v>16.79292132783182</v>
      </c>
    </row>
    <row r="11" spans="1:19" ht="0.75" customHeight="1" thickTop="1" x14ac:dyDescent="0.6">
      <c r="A11" s="27" t="s">
        <v>179</v>
      </c>
      <c r="B11" s="28"/>
      <c r="C11" s="29"/>
      <c r="D11" s="29"/>
      <c r="E11" s="29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idden="1" x14ac:dyDescent="0.6">
      <c r="D12" s="60">
        <f>' سهام و صندوق‌های سرمایه‌گذاری'!N10</f>
        <v>80830992846541</v>
      </c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r:id="rId1"/>
  <headerFooter differentOddEven="1" differentFirst="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view="pageBreakPreview" zoomScale="60" zoomScaleNormal="106" workbookViewId="0">
      <selection activeCell="J29" sqref="J29"/>
    </sheetView>
  </sheetViews>
  <sheetFormatPr defaultColWidth="0" defaultRowHeight="20.25" x14ac:dyDescent="0.55000000000000004"/>
  <cols>
    <col min="1" max="1" width="24" style="23" customWidth="1"/>
    <col min="2" max="2" width="17" style="23" customWidth="1"/>
    <col min="3" max="3" width="28.28515625" style="23" customWidth="1"/>
    <col min="4" max="4" width="19.28515625" style="23" customWidth="1"/>
    <col min="5" max="5" width="18.7109375" style="23" customWidth="1"/>
    <col min="6" max="6" width="15.42578125" style="23" customWidth="1"/>
    <col min="7" max="7" width="20" style="23" customWidth="1"/>
    <col min="8" max="8" width="18.7109375" style="23" customWidth="1"/>
    <col min="9" max="9" width="15.42578125" style="23" customWidth="1"/>
    <col min="10" max="10" width="20" style="23" customWidth="1"/>
    <col min="11" max="13" width="0.7109375" style="22" customWidth="1"/>
    <col min="14" max="14" width="0" style="22" hidden="1" customWidth="1"/>
    <col min="15" max="16384" width="0" style="22" hidden="1"/>
  </cols>
  <sheetData>
    <row r="1" spans="1:13" ht="25.5" x14ac:dyDescent="0.55000000000000004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</row>
    <row r="2" spans="1:13" ht="25.5" x14ac:dyDescent="0.55000000000000004">
      <c r="A2" s="79" t="s">
        <v>316</v>
      </c>
      <c r="B2" s="79"/>
      <c r="C2" s="79"/>
      <c r="D2" s="79"/>
      <c r="E2" s="79"/>
      <c r="F2" s="79"/>
      <c r="G2" s="79"/>
      <c r="H2" s="79"/>
      <c r="I2" s="79"/>
      <c r="J2" s="79"/>
    </row>
    <row r="3" spans="1:13" ht="25.5" x14ac:dyDescent="0.55000000000000004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</row>
    <row r="4" spans="1:13" ht="25.5" x14ac:dyDescent="0.55000000000000004">
      <c r="A4" s="80" t="s">
        <v>363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6.5" customHeight="1" x14ac:dyDescent="0.55000000000000004">
      <c r="B5" s="76" t="s">
        <v>364</v>
      </c>
      <c r="C5" s="76"/>
      <c r="D5" s="76"/>
      <c r="E5" s="83" t="s">
        <v>408</v>
      </c>
      <c r="F5" s="83"/>
      <c r="G5" s="83"/>
      <c r="H5" s="83" t="s">
        <v>319</v>
      </c>
      <c r="I5" s="83"/>
      <c r="J5" s="83"/>
      <c r="K5" s="24"/>
      <c r="L5" s="24"/>
      <c r="M5" s="24"/>
    </row>
    <row r="6" spans="1:13" ht="47.25" customHeight="1" x14ac:dyDescent="0.55000000000000004">
      <c r="A6" s="25" t="s">
        <v>365</v>
      </c>
      <c r="B6" s="26" t="s">
        <v>366</v>
      </c>
      <c r="C6" s="25" t="s">
        <v>367</v>
      </c>
      <c r="D6" s="25" t="s">
        <v>368</v>
      </c>
      <c r="E6" s="25" t="s">
        <v>369</v>
      </c>
      <c r="F6" s="26" t="s">
        <v>370</v>
      </c>
      <c r="G6" s="25" t="s">
        <v>371</v>
      </c>
      <c r="H6" s="25" t="s">
        <v>369</v>
      </c>
      <c r="I6" s="25" t="s">
        <v>370</v>
      </c>
      <c r="J6" s="25" t="s">
        <v>371</v>
      </c>
    </row>
    <row r="7" spans="1:13" ht="23.1" customHeight="1" x14ac:dyDescent="0.55000000000000004">
      <c r="A7" s="6" t="s">
        <v>208</v>
      </c>
      <c r="B7" s="7" t="s">
        <v>372</v>
      </c>
      <c r="C7" s="7">
        <v>571425</v>
      </c>
      <c r="D7" s="7">
        <v>6130</v>
      </c>
      <c r="E7" s="7">
        <v>3502835250</v>
      </c>
      <c r="F7" s="7">
        <v>-144897322</v>
      </c>
      <c r="G7" s="7">
        <f>Table4[[#This Row],[3502835250]]+Table4[[#This Row],[-144897322]]</f>
        <v>3357937928</v>
      </c>
      <c r="H7" s="7">
        <v>3502835250</v>
      </c>
      <c r="I7" s="7">
        <v>-144897322</v>
      </c>
      <c r="J7" s="7">
        <f>Table4[[#This Row],[Column8]]+Table4[[#This Row],[Column9]]</f>
        <v>3357937928</v>
      </c>
    </row>
    <row r="8" spans="1:13" ht="23.1" customHeight="1" x14ac:dyDescent="0.55000000000000004">
      <c r="A8" s="6" t="s">
        <v>263</v>
      </c>
      <c r="B8" s="7" t="s">
        <v>373</v>
      </c>
      <c r="C8" s="7">
        <v>7882734</v>
      </c>
      <c r="D8" s="7">
        <v>3370</v>
      </c>
      <c r="E8" s="7">
        <v>26564813580</v>
      </c>
      <c r="F8" s="7">
        <v>-1606880616</v>
      </c>
      <c r="G8" s="7">
        <f>Table4[[#This Row],[3502835250]]+Table4[[#This Row],[-144897322]]</f>
        <v>24957932964</v>
      </c>
      <c r="H8" s="7">
        <v>26564813580</v>
      </c>
      <c r="I8" s="7">
        <v>-1606880616</v>
      </c>
      <c r="J8" s="7">
        <f>Table4[[#This Row],[Column8]]+Table4[[#This Row],[Column9]]</f>
        <v>24957932964</v>
      </c>
    </row>
    <row r="9" spans="1:13" ht="23.1" customHeight="1" x14ac:dyDescent="0.55000000000000004">
      <c r="A9" s="6" t="s">
        <v>243</v>
      </c>
      <c r="B9" s="7" t="s">
        <v>374</v>
      </c>
      <c r="C9" s="7">
        <v>4091416</v>
      </c>
      <c r="D9" s="7">
        <v>5055</v>
      </c>
      <c r="E9" s="7">
        <v>20682107880</v>
      </c>
      <c r="F9" s="7">
        <v>-538093534</v>
      </c>
      <c r="G9" s="7">
        <f>Table4[[#This Row],[3502835250]]+Table4[[#This Row],[-144897322]]</f>
        <v>20144014346</v>
      </c>
      <c r="H9" s="7">
        <v>20682107880</v>
      </c>
      <c r="I9" s="7">
        <v>-538093534</v>
      </c>
      <c r="J9" s="7">
        <f>Table4[[#This Row],[Column8]]+Table4[[#This Row],[Column9]]</f>
        <v>20144014346</v>
      </c>
    </row>
    <row r="10" spans="1:13" ht="23.1" customHeight="1" x14ac:dyDescent="0.55000000000000004">
      <c r="A10" s="6" t="s">
        <v>242</v>
      </c>
      <c r="B10" s="7" t="s">
        <v>374</v>
      </c>
      <c r="C10" s="7">
        <v>1282154</v>
      </c>
      <c r="D10" s="7">
        <v>4430</v>
      </c>
      <c r="E10" s="7">
        <v>5679942220</v>
      </c>
      <c r="F10" s="7">
        <v>-545133773</v>
      </c>
      <c r="G10" s="7">
        <f>Table4[[#This Row],[3502835250]]+Table4[[#This Row],[-144897322]]</f>
        <v>5134808447</v>
      </c>
      <c r="H10" s="7">
        <v>5679942220</v>
      </c>
      <c r="I10" s="7">
        <v>-545133773</v>
      </c>
      <c r="J10" s="7">
        <f>Table4[[#This Row],[Column8]]+Table4[[#This Row],[Column9]]</f>
        <v>5134808447</v>
      </c>
    </row>
    <row r="11" spans="1:13" ht="23.1" customHeight="1" x14ac:dyDescent="0.55000000000000004">
      <c r="A11" s="6" t="s">
        <v>265</v>
      </c>
      <c r="B11" s="7" t="s">
        <v>375</v>
      </c>
      <c r="C11" s="7">
        <v>150988</v>
      </c>
      <c r="D11" s="7">
        <v>11621</v>
      </c>
      <c r="E11" s="7">
        <v>1754631548</v>
      </c>
      <c r="F11" s="7">
        <v>-72581607</v>
      </c>
      <c r="G11" s="7">
        <f>Table4[[#This Row],[3502835250]]+Table4[[#This Row],[-144897322]]</f>
        <v>1682049941</v>
      </c>
      <c r="H11" s="7">
        <v>1754631548</v>
      </c>
      <c r="I11" s="7">
        <v>-72581607</v>
      </c>
      <c r="J11" s="7">
        <f>Table4[[#This Row],[Column8]]+Table4[[#This Row],[Column9]]</f>
        <v>1682049941</v>
      </c>
    </row>
    <row r="12" spans="1:13" ht="23.1" customHeight="1" x14ac:dyDescent="0.55000000000000004">
      <c r="A12" s="6" t="s">
        <v>251</v>
      </c>
      <c r="B12" s="7" t="s">
        <v>375</v>
      </c>
      <c r="C12" s="7">
        <v>9157319</v>
      </c>
      <c r="D12" s="7">
        <v>2750</v>
      </c>
      <c r="E12" s="7">
        <v>25182627250</v>
      </c>
      <c r="F12" s="7">
        <v>-2818493561</v>
      </c>
      <c r="G12" s="7">
        <f>Table4[[#This Row],[3502835250]]+Table4[[#This Row],[-144897322]]</f>
        <v>22364133689</v>
      </c>
      <c r="H12" s="7">
        <v>25182627250</v>
      </c>
      <c r="I12" s="7">
        <v>-2818493561</v>
      </c>
      <c r="J12" s="7">
        <f>Table4[[#This Row],[Column8]]+Table4[[#This Row],[Column9]]</f>
        <v>22364133689</v>
      </c>
    </row>
    <row r="13" spans="1:13" ht="23.1" customHeight="1" x14ac:dyDescent="0.55000000000000004">
      <c r="A13" s="6" t="s">
        <v>209</v>
      </c>
      <c r="B13" s="7" t="s">
        <v>375</v>
      </c>
      <c r="C13" s="7">
        <v>2233516</v>
      </c>
      <c r="D13" s="7">
        <v>4864</v>
      </c>
      <c r="E13" s="7">
        <v>10863821824</v>
      </c>
      <c r="F13" s="7">
        <v>-856768283</v>
      </c>
      <c r="G13" s="7">
        <f>Table4[[#This Row],[3502835250]]+Table4[[#This Row],[-144897322]]</f>
        <v>10007053541</v>
      </c>
      <c r="H13" s="7">
        <v>10863821824</v>
      </c>
      <c r="I13" s="7">
        <v>-856768283</v>
      </c>
      <c r="J13" s="7">
        <f>Table4[[#This Row],[Column8]]+Table4[[#This Row],[Column9]]</f>
        <v>10007053541</v>
      </c>
    </row>
    <row r="14" spans="1:13" ht="23.1" customHeight="1" x14ac:dyDescent="0.55000000000000004">
      <c r="A14" s="6" t="s">
        <v>258</v>
      </c>
      <c r="B14" s="7" t="s">
        <v>375</v>
      </c>
      <c r="C14" s="7">
        <v>6092842</v>
      </c>
      <c r="D14" s="7">
        <v>2900</v>
      </c>
      <c r="E14" s="7">
        <v>17669241800</v>
      </c>
      <c r="F14" s="7">
        <v>-2267992231</v>
      </c>
      <c r="G14" s="7">
        <f>Table4[[#This Row],[3502835250]]+Table4[[#This Row],[-144897322]]</f>
        <v>15401249569</v>
      </c>
      <c r="H14" s="7">
        <v>17669241800</v>
      </c>
      <c r="I14" s="7">
        <v>-2267992231</v>
      </c>
      <c r="J14" s="7">
        <f>Table4[[#This Row],[Column8]]+Table4[[#This Row],[Column9]]</f>
        <v>15401249569</v>
      </c>
    </row>
    <row r="15" spans="1:13" ht="23.1" customHeight="1" x14ac:dyDescent="0.55000000000000004">
      <c r="A15" s="6" t="s">
        <v>198</v>
      </c>
      <c r="B15" s="7" t="s">
        <v>376</v>
      </c>
      <c r="C15" s="7">
        <v>2592794</v>
      </c>
      <c r="D15" s="7">
        <v>1771</v>
      </c>
      <c r="E15" s="7">
        <v>4591838174</v>
      </c>
      <c r="F15" s="7">
        <v>-409627485</v>
      </c>
      <c r="G15" s="7">
        <f>Table4[[#This Row],[3502835250]]+Table4[[#This Row],[-144897322]]</f>
        <v>4182210689</v>
      </c>
      <c r="H15" s="7">
        <v>4591838174</v>
      </c>
      <c r="I15" s="7">
        <v>-409627485</v>
      </c>
      <c r="J15" s="7">
        <f>Table4[[#This Row],[Column8]]+Table4[[#This Row],[Column9]]</f>
        <v>4182210689</v>
      </c>
    </row>
    <row r="16" spans="1:13" ht="23.1" customHeight="1" x14ac:dyDescent="0.55000000000000004">
      <c r="A16" s="6" t="s">
        <v>233</v>
      </c>
      <c r="B16" s="7" t="s">
        <v>377</v>
      </c>
      <c r="C16" s="7">
        <v>7665420</v>
      </c>
      <c r="D16" s="7">
        <v>2265</v>
      </c>
      <c r="E16" s="7">
        <v>17362176300</v>
      </c>
      <c r="F16" s="7">
        <v>-1050221732</v>
      </c>
      <c r="G16" s="7">
        <f>Table4[[#This Row],[3502835250]]+Table4[[#This Row],[-144897322]]</f>
        <v>16311954568</v>
      </c>
      <c r="H16" s="7">
        <v>17362176300</v>
      </c>
      <c r="I16" s="7">
        <v>-1050221732</v>
      </c>
      <c r="J16" s="7">
        <f>Table4[[#This Row],[Column8]]+Table4[[#This Row],[Column9]]</f>
        <v>16311954568</v>
      </c>
    </row>
    <row r="17" spans="1:10" ht="23.1" customHeight="1" x14ac:dyDescent="0.55000000000000004">
      <c r="A17" s="6" t="s">
        <v>207</v>
      </c>
      <c r="B17" s="7" t="s">
        <v>377</v>
      </c>
      <c r="C17" s="7">
        <v>3980729</v>
      </c>
      <c r="D17" s="7">
        <v>2180</v>
      </c>
      <c r="E17" s="7">
        <v>8677989220</v>
      </c>
      <c r="F17" s="7">
        <v>-493322385</v>
      </c>
      <c r="G17" s="7">
        <f>Table4[[#This Row],[3502835250]]+Table4[[#This Row],[-144897322]]</f>
        <v>8184666835</v>
      </c>
      <c r="H17" s="7">
        <v>8677989220</v>
      </c>
      <c r="I17" s="7">
        <v>-493322385</v>
      </c>
      <c r="J17" s="7">
        <f>Table4[[#This Row],[Column8]]+Table4[[#This Row],[Column9]]</f>
        <v>8184666835</v>
      </c>
    </row>
    <row r="18" spans="1:10" ht="23.1" customHeight="1" x14ac:dyDescent="0.55000000000000004">
      <c r="A18" s="6" t="s">
        <v>210</v>
      </c>
      <c r="B18" s="7" t="s">
        <v>378</v>
      </c>
      <c r="C18" s="7">
        <v>2197672</v>
      </c>
      <c r="D18" s="7">
        <v>5165</v>
      </c>
      <c r="E18" s="7">
        <v>11350975880</v>
      </c>
      <c r="F18" s="7">
        <v>-243452566</v>
      </c>
      <c r="G18" s="7">
        <f>Table4[[#This Row],[3502835250]]+Table4[[#This Row],[-144897322]]</f>
        <v>11107523314</v>
      </c>
      <c r="H18" s="7">
        <v>11350975880</v>
      </c>
      <c r="I18" s="7">
        <v>-243452566</v>
      </c>
      <c r="J18" s="7">
        <f>Table4[[#This Row],[Column8]]+Table4[[#This Row],[Column9]]</f>
        <v>11107523314</v>
      </c>
    </row>
    <row r="19" spans="1:10" ht="23.1" customHeight="1" x14ac:dyDescent="0.55000000000000004">
      <c r="A19" s="6" t="s">
        <v>379</v>
      </c>
      <c r="B19" s="7" t="s">
        <v>380</v>
      </c>
      <c r="C19" s="7">
        <v>1280001</v>
      </c>
      <c r="D19" s="7">
        <v>847</v>
      </c>
      <c r="E19" s="7">
        <v>1084160847</v>
      </c>
      <c r="F19" s="7">
        <v>-50952729</v>
      </c>
      <c r="G19" s="7">
        <f>Table4[[#This Row],[3502835250]]+Table4[[#This Row],[-144897322]]</f>
        <v>1033208118</v>
      </c>
      <c r="H19" s="7">
        <v>1084160847</v>
      </c>
      <c r="I19" s="7">
        <v>-50952729</v>
      </c>
      <c r="J19" s="7">
        <f>Table4[[#This Row],[Column8]]+Table4[[#This Row],[Column9]]</f>
        <v>1033208118</v>
      </c>
    </row>
    <row r="20" spans="1:10" ht="23.1" customHeight="1" x14ac:dyDescent="0.55000000000000004">
      <c r="A20" s="6" t="s">
        <v>229</v>
      </c>
      <c r="B20" s="7" t="s">
        <v>381</v>
      </c>
      <c r="C20" s="7">
        <v>3176282</v>
      </c>
      <c r="D20" s="7">
        <v>3530</v>
      </c>
      <c r="E20" s="7">
        <v>11212275460</v>
      </c>
      <c r="F20" s="7">
        <v>-1439187596</v>
      </c>
      <c r="G20" s="7">
        <f>Table4[[#This Row],[3502835250]]+Table4[[#This Row],[-144897322]]</f>
        <v>9773087864</v>
      </c>
      <c r="H20" s="7">
        <v>11212275460</v>
      </c>
      <c r="I20" s="7">
        <v>-1439187596</v>
      </c>
      <c r="J20" s="7">
        <f>Table4[[#This Row],[Column8]]+Table4[[#This Row],[Column9]]</f>
        <v>9773087864</v>
      </c>
    </row>
    <row r="21" spans="1:10" ht="23.1" customHeight="1" x14ac:dyDescent="0.55000000000000004">
      <c r="A21" s="6" t="s">
        <v>202</v>
      </c>
      <c r="B21" s="7" t="s">
        <v>381</v>
      </c>
      <c r="C21" s="7">
        <v>15053521</v>
      </c>
      <c r="D21" s="7">
        <v>2250</v>
      </c>
      <c r="E21" s="7">
        <v>33870422250</v>
      </c>
      <c r="F21" s="7">
        <v>-3250721640</v>
      </c>
      <c r="G21" s="7">
        <f>Table4[[#This Row],[3502835250]]+Table4[[#This Row],[-144897322]]</f>
        <v>30619700610</v>
      </c>
      <c r="H21" s="7">
        <v>33870422250</v>
      </c>
      <c r="I21" s="7">
        <v>-3250721640</v>
      </c>
      <c r="J21" s="7">
        <f>Table4[[#This Row],[Column8]]+Table4[[#This Row],[Column9]]</f>
        <v>30619700610</v>
      </c>
    </row>
    <row r="22" spans="1:10" ht="23.1" customHeight="1" x14ac:dyDescent="0.55000000000000004">
      <c r="A22" s="6" t="s">
        <v>232</v>
      </c>
      <c r="B22" s="7" t="s">
        <v>382</v>
      </c>
      <c r="C22" s="7">
        <v>1091616</v>
      </c>
      <c r="D22" s="7">
        <v>7554</v>
      </c>
      <c r="E22" s="7">
        <v>8246067264</v>
      </c>
      <c r="F22" s="7">
        <v>-498796862</v>
      </c>
      <c r="G22" s="7">
        <f>Table4[[#This Row],[3502835250]]+Table4[[#This Row],[-144897322]]</f>
        <v>7747270402</v>
      </c>
      <c r="H22" s="7">
        <v>8246067264</v>
      </c>
      <c r="I22" s="7">
        <v>-498796862</v>
      </c>
      <c r="J22" s="7">
        <f>Table4[[#This Row],[Column8]]+Table4[[#This Row],[Column9]]</f>
        <v>7747270402</v>
      </c>
    </row>
    <row r="23" spans="1:10" ht="23.1" customHeight="1" x14ac:dyDescent="0.55000000000000004">
      <c r="A23" s="6" t="s">
        <v>244</v>
      </c>
      <c r="B23" s="7" t="s">
        <v>383</v>
      </c>
      <c r="C23" s="7">
        <v>8997016</v>
      </c>
      <c r="D23" s="7">
        <v>4397</v>
      </c>
      <c r="E23" s="7">
        <v>39559879352</v>
      </c>
      <c r="F23" s="7">
        <v>-1636423112</v>
      </c>
      <c r="G23" s="7">
        <f>Table4[[#This Row],[3502835250]]+Table4[[#This Row],[-144897322]]</f>
        <v>37923456240</v>
      </c>
      <c r="H23" s="7">
        <v>39559879352</v>
      </c>
      <c r="I23" s="7">
        <v>-1636423112</v>
      </c>
      <c r="J23" s="7">
        <f>Table4[[#This Row],[Column8]]+Table4[[#This Row],[Column9]]</f>
        <v>37923456240</v>
      </c>
    </row>
    <row r="24" spans="1:10" ht="23.1" customHeight="1" x14ac:dyDescent="0.55000000000000004">
      <c r="A24" s="6" t="s">
        <v>269</v>
      </c>
      <c r="B24" s="7" t="s">
        <v>383</v>
      </c>
      <c r="C24" s="7">
        <v>3862291</v>
      </c>
      <c r="D24" s="7">
        <v>700</v>
      </c>
      <c r="E24" s="7">
        <v>2703603700</v>
      </c>
      <c r="F24" s="7">
        <v>-383050260</v>
      </c>
      <c r="G24" s="7">
        <f>Table4[[#This Row],[3502835250]]+Table4[[#This Row],[-144897322]]</f>
        <v>2320553440</v>
      </c>
      <c r="H24" s="7">
        <v>2703603700</v>
      </c>
      <c r="I24" s="7">
        <v>-383050260</v>
      </c>
      <c r="J24" s="7">
        <f>Table4[[#This Row],[Column8]]+Table4[[#This Row],[Column9]]</f>
        <v>2320553440</v>
      </c>
    </row>
    <row r="25" spans="1:10" ht="23.1" customHeight="1" x14ac:dyDescent="0.55000000000000004">
      <c r="A25" s="6" t="s">
        <v>264</v>
      </c>
      <c r="B25" s="7" t="s">
        <v>384</v>
      </c>
      <c r="C25" s="7">
        <v>3536</v>
      </c>
      <c r="D25" s="7">
        <v>5614</v>
      </c>
      <c r="E25" s="7">
        <v>19851104</v>
      </c>
      <c r="F25" s="7">
        <v>-2822542</v>
      </c>
      <c r="G25" s="7">
        <f>Table4[[#This Row],[3502835250]]+Table4[[#This Row],[-144897322]]</f>
        <v>17028562</v>
      </c>
      <c r="H25" s="7">
        <v>19851104</v>
      </c>
      <c r="I25" s="7">
        <v>-2822542</v>
      </c>
      <c r="J25" s="7">
        <f>Table4[[#This Row],[Column8]]+Table4[[#This Row],[Column9]]</f>
        <v>17028562</v>
      </c>
    </row>
    <row r="26" spans="1:10" ht="23.1" customHeight="1" x14ac:dyDescent="0.55000000000000004">
      <c r="A26" s="6" t="s">
        <v>256</v>
      </c>
      <c r="B26" s="7" t="s">
        <v>7</v>
      </c>
      <c r="C26" s="7">
        <v>199481490</v>
      </c>
      <c r="D26" s="7">
        <v>980</v>
      </c>
      <c r="E26" s="7">
        <v>195491860200</v>
      </c>
      <c r="F26" s="7">
        <v>-28091205718</v>
      </c>
      <c r="G26" s="7">
        <f>Table4[[#This Row],[3502835250]]+Table4[[#This Row],[-144897322]]</f>
        <v>167400654482</v>
      </c>
      <c r="H26" s="7">
        <v>195491860200</v>
      </c>
      <c r="I26" s="7">
        <v>-28091205718</v>
      </c>
      <c r="J26" s="7">
        <f>Table4[[#This Row],[Column8]]+Table4[[#This Row],[Column9]]</f>
        <v>167400654482</v>
      </c>
    </row>
    <row r="27" spans="1:10" ht="23.1" customHeight="1" x14ac:dyDescent="0.55000000000000004">
      <c r="A27" s="6" t="s">
        <v>200</v>
      </c>
      <c r="B27" s="7" t="s">
        <v>7</v>
      </c>
      <c r="C27" s="7">
        <v>16014337</v>
      </c>
      <c r="D27" s="7">
        <v>40</v>
      </c>
      <c r="E27" s="7">
        <v>640573480</v>
      </c>
      <c r="F27" s="7">
        <v>-92047216</v>
      </c>
      <c r="G27" s="7">
        <f>Table4[[#This Row],[3502835250]]+Table4[[#This Row],[-144897322]]</f>
        <v>548526264</v>
      </c>
      <c r="H27" s="7">
        <v>640573480</v>
      </c>
      <c r="I27" s="7">
        <v>-92047216</v>
      </c>
      <c r="J27" s="7">
        <f>Table4[[#This Row],[Column8]]+Table4[[#This Row],[Column9]]</f>
        <v>548526264</v>
      </c>
    </row>
    <row r="28" spans="1:10" ht="23.1" customHeight="1" x14ac:dyDescent="0.55000000000000004">
      <c r="A28" s="6" t="s">
        <v>240</v>
      </c>
      <c r="B28" s="7" t="s">
        <v>7</v>
      </c>
      <c r="C28" s="7">
        <v>5673657</v>
      </c>
      <c r="D28" s="7">
        <v>3000</v>
      </c>
      <c r="E28" s="7">
        <v>17020971000</v>
      </c>
      <c r="F28" s="7">
        <v>-2445828677</v>
      </c>
      <c r="G28" s="7">
        <f>Table4[[#This Row],[3502835250]]+Table4[[#This Row],[-144897322]]</f>
        <v>14575142323</v>
      </c>
      <c r="H28" s="7">
        <v>17020971000</v>
      </c>
      <c r="I28" s="7">
        <v>-2445828677</v>
      </c>
      <c r="J28" s="7">
        <f>Table4[[#This Row],[Column8]]+Table4[[#This Row],[Column9]]</f>
        <v>14575142323</v>
      </c>
    </row>
    <row r="29" spans="1:10" ht="23.1" customHeight="1" thickBot="1" x14ac:dyDescent="0.6">
      <c r="A29" s="6" t="s">
        <v>178</v>
      </c>
      <c r="B29" s="7"/>
      <c r="C29" s="7"/>
      <c r="D29" s="7"/>
      <c r="E29" s="40">
        <f t="shared" ref="E29:J29" si="0">SUM(E7:E28)</f>
        <v>463732665583</v>
      </c>
      <c r="F29" s="40">
        <f t="shared" si="0"/>
        <v>-48938501447</v>
      </c>
      <c r="G29" s="40">
        <f t="shared" si="0"/>
        <v>414794164136</v>
      </c>
      <c r="H29" s="40">
        <f t="shared" si="0"/>
        <v>463732665583</v>
      </c>
      <c r="I29" s="40">
        <f t="shared" si="0"/>
        <v>-48938501447</v>
      </c>
      <c r="J29" s="40">
        <f t="shared" si="0"/>
        <v>414794164136</v>
      </c>
    </row>
    <row r="30" spans="1:10" ht="23.1" customHeight="1" thickTop="1" x14ac:dyDescent="0.55000000000000004">
      <c r="A30" s="6" t="s">
        <v>179</v>
      </c>
      <c r="B30" s="16"/>
      <c r="C30" s="16"/>
      <c r="D30" s="16"/>
      <c r="E30" s="16"/>
      <c r="F30" s="16"/>
      <c r="G30" s="16"/>
      <c r="H30" s="16"/>
      <c r="I30" s="16"/>
      <c r="J30" s="16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scale="60" orientation="landscape" r:id="rId1"/>
  <headerFooter differentOddEven="1" differentFirst="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rightToLeft="1" view="pageBreakPreview" zoomScale="60" zoomScaleNormal="106" workbookViewId="0">
      <selection activeCell="J96" sqref="J96:J98"/>
    </sheetView>
  </sheetViews>
  <sheetFormatPr defaultRowHeight="22.5" x14ac:dyDescent="0.6"/>
  <cols>
    <col min="1" max="1" width="28.85546875" style="8" customWidth="1"/>
    <col min="2" max="2" width="17" style="47" customWidth="1"/>
    <col min="3" max="3" width="13.5703125" style="47" customWidth="1"/>
    <col min="4" max="4" width="20.7109375" style="47" customWidth="1"/>
    <col min="5" max="5" width="15.140625" style="8" customWidth="1"/>
    <col min="6" max="6" width="11.85546875" style="8" customWidth="1"/>
    <col min="7" max="8" width="15.140625" style="8" customWidth="1"/>
    <col min="9" max="9" width="11.85546875" style="8" customWidth="1"/>
    <col min="10" max="10" width="15.140625" style="8" customWidth="1"/>
    <col min="11" max="11" width="9.140625" style="1" customWidth="1"/>
    <col min="12" max="16384" width="9.140625" style="1"/>
  </cols>
  <sheetData>
    <row r="1" spans="1:10" x14ac:dyDescent="0.6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x14ac:dyDescent="0.6">
      <c r="A2" s="63" t="s">
        <v>316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6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ht="25.5" x14ac:dyDescent="0.6">
      <c r="A4" s="80" t="s">
        <v>385</v>
      </c>
      <c r="B4" s="80"/>
      <c r="C4" s="80"/>
      <c r="D4" s="80"/>
      <c r="E4" s="80"/>
    </row>
    <row r="5" spans="1:10" ht="16.5" customHeight="1" x14ac:dyDescent="0.6">
      <c r="A5" s="18"/>
      <c r="B5" s="84"/>
      <c r="C5" s="84"/>
      <c r="D5" s="84"/>
      <c r="E5" s="83" t="s">
        <v>408</v>
      </c>
      <c r="F5" s="83"/>
      <c r="G5" s="83"/>
      <c r="H5" s="83" t="s">
        <v>319</v>
      </c>
      <c r="I5" s="83"/>
      <c r="J5" s="83"/>
    </row>
    <row r="6" spans="1:10" ht="38.25" customHeight="1" x14ac:dyDescent="0.6">
      <c r="A6" s="8" t="s">
        <v>348</v>
      </c>
      <c r="B6" s="50" t="s">
        <v>386</v>
      </c>
      <c r="C6" s="50" t="s">
        <v>280</v>
      </c>
      <c r="D6" s="50" t="s">
        <v>11</v>
      </c>
      <c r="E6" s="21" t="s">
        <v>387</v>
      </c>
      <c r="F6" s="21" t="s">
        <v>370</v>
      </c>
      <c r="G6" s="21" t="s">
        <v>388</v>
      </c>
      <c r="H6" s="21" t="s">
        <v>387</v>
      </c>
      <c r="I6" s="21" t="s">
        <v>370</v>
      </c>
      <c r="J6" s="21" t="s">
        <v>388</v>
      </c>
    </row>
    <row r="7" spans="1:10" ht="23.1" customHeight="1" x14ac:dyDescent="0.6">
      <c r="A7" s="6" t="s">
        <v>300</v>
      </c>
      <c r="B7" s="7" t="s">
        <v>302</v>
      </c>
      <c r="C7" s="7" t="s">
        <v>302</v>
      </c>
      <c r="D7" s="53">
        <v>18</v>
      </c>
      <c r="E7" s="7">
        <v>59624695013</v>
      </c>
      <c r="F7" s="7">
        <v>0</v>
      </c>
      <c r="G7" s="7">
        <f>Table5[[#This Row],[59624695013]]-Table5[[#This Row],[0]]</f>
        <v>59624695013</v>
      </c>
      <c r="H7" s="7">
        <v>126125123440</v>
      </c>
      <c r="I7" s="7">
        <v>0</v>
      </c>
      <c r="J7" s="7">
        <f>Table5[[#This Row],[126125123440]]-Table5[[#This Row],[Column9]]</f>
        <v>126125123440</v>
      </c>
    </row>
    <row r="8" spans="1:10" ht="23.1" customHeight="1" x14ac:dyDescent="0.6">
      <c r="A8" s="6" t="s">
        <v>294</v>
      </c>
      <c r="B8" s="7" t="s">
        <v>389</v>
      </c>
      <c r="C8" s="7" t="s">
        <v>296</v>
      </c>
      <c r="D8" s="53">
        <v>18</v>
      </c>
      <c r="E8" s="7">
        <v>3004185215</v>
      </c>
      <c r="F8" s="7">
        <v>0</v>
      </c>
      <c r="G8" s="7">
        <f>Table5[[#This Row],[59624695013]]-Table5[[#This Row],[0]]</f>
        <v>3004185215</v>
      </c>
      <c r="H8" s="7">
        <v>3004185215</v>
      </c>
      <c r="I8" s="7">
        <v>0</v>
      </c>
      <c r="J8" s="7">
        <f>Table5[[#This Row],[126125123440]]-Table5[[#This Row],[Column9]]</f>
        <v>3004185215</v>
      </c>
    </row>
    <row r="9" spans="1:10" ht="23.1" customHeight="1" x14ac:dyDescent="0.6">
      <c r="A9" s="6" t="s">
        <v>288</v>
      </c>
      <c r="B9" s="7" t="s">
        <v>390</v>
      </c>
      <c r="C9" s="7" t="s">
        <v>290</v>
      </c>
      <c r="D9" s="53">
        <v>15</v>
      </c>
      <c r="E9" s="7">
        <v>397479454</v>
      </c>
      <c r="F9" s="7">
        <v>0</v>
      </c>
      <c r="G9" s="7">
        <f>Table5[[#This Row],[59624695013]]-Table5[[#This Row],[0]]</f>
        <v>397479454</v>
      </c>
      <c r="H9" s="7">
        <v>785085619</v>
      </c>
      <c r="I9" s="7">
        <v>0</v>
      </c>
      <c r="J9" s="7">
        <f>Table5[[#This Row],[126125123440]]-Table5[[#This Row],[Column9]]</f>
        <v>785085619</v>
      </c>
    </row>
    <row r="10" spans="1:10" ht="23.1" customHeight="1" x14ac:dyDescent="0.6">
      <c r="A10" s="6" t="s">
        <v>303</v>
      </c>
      <c r="B10" s="7" t="s">
        <v>391</v>
      </c>
      <c r="C10" s="7" t="s">
        <v>305</v>
      </c>
      <c r="D10" s="53">
        <v>18</v>
      </c>
      <c r="E10" s="7">
        <v>442673191</v>
      </c>
      <c r="F10" s="7">
        <v>0</v>
      </c>
      <c r="G10" s="7">
        <f>Table5[[#This Row],[59624695013]]-Table5[[#This Row],[0]]</f>
        <v>442673191</v>
      </c>
      <c r="H10" s="7">
        <v>2693455188</v>
      </c>
      <c r="I10" s="7">
        <v>0</v>
      </c>
      <c r="J10" s="7">
        <f>Table5[[#This Row],[126125123440]]-Table5[[#This Row],[Column9]]</f>
        <v>2693455188</v>
      </c>
    </row>
    <row r="11" spans="1:10" ht="23.1" customHeight="1" x14ac:dyDescent="0.6">
      <c r="A11" s="6" t="s">
        <v>309</v>
      </c>
      <c r="B11" s="7" t="s">
        <v>392</v>
      </c>
      <c r="C11" s="7" t="s">
        <v>311</v>
      </c>
      <c r="D11" s="53">
        <v>18</v>
      </c>
      <c r="E11" s="7">
        <v>9480175953</v>
      </c>
      <c r="F11" s="7">
        <v>0</v>
      </c>
      <c r="G11" s="7">
        <f>Table5[[#This Row],[59624695013]]-Table5[[#This Row],[0]]</f>
        <v>9480175953</v>
      </c>
      <c r="H11" s="7">
        <v>15565173633</v>
      </c>
      <c r="I11" s="7">
        <v>0</v>
      </c>
      <c r="J11" s="7">
        <f>Table5[[#This Row],[126125123440]]-Table5[[#This Row],[Column9]]</f>
        <v>15565173633</v>
      </c>
    </row>
    <row r="12" spans="1:10" ht="23.1" customHeight="1" x14ac:dyDescent="0.6">
      <c r="A12" s="6" t="s">
        <v>297</v>
      </c>
      <c r="B12" s="7" t="s">
        <v>299</v>
      </c>
      <c r="C12" s="7" t="s">
        <v>299</v>
      </c>
      <c r="D12" s="53">
        <v>16</v>
      </c>
      <c r="E12" s="7">
        <v>13250</v>
      </c>
      <c r="F12" s="7">
        <v>0</v>
      </c>
      <c r="G12" s="7">
        <f>Table5[[#This Row],[59624695013]]-Table5[[#This Row],[0]]</f>
        <v>13250</v>
      </c>
      <c r="H12" s="7">
        <v>26132</v>
      </c>
      <c r="I12" s="7">
        <v>0</v>
      </c>
      <c r="J12" s="7">
        <f>Table5[[#This Row],[126125123440]]-Table5[[#This Row],[Column9]]</f>
        <v>26132</v>
      </c>
    </row>
    <row r="13" spans="1:10" ht="23.1" customHeight="1" x14ac:dyDescent="0.6">
      <c r="A13" s="6" t="s">
        <v>281</v>
      </c>
      <c r="B13" s="7" t="s">
        <v>393</v>
      </c>
      <c r="C13" s="7" t="s">
        <v>284</v>
      </c>
      <c r="D13" s="53">
        <v>17.899999999999999</v>
      </c>
      <c r="E13" s="7">
        <v>1796583292</v>
      </c>
      <c r="F13" s="7">
        <v>0</v>
      </c>
      <c r="G13" s="7">
        <f>Table5[[#This Row],[59624695013]]-Table5[[#This Row],[0]]</f>
        <v>1796583292</v>
      </c>
      <c r="H13" s="7">
        <v>1796583292</v>
      </c>
      <c r="I13" s="7">
        <v>0</v>
      </c>
      <c r="J13" s="7">
        <f>Table5[[#This Row],[126125123440]]-Table5[[#This Row],[Column9]]</f>
        <v>1796583292</v>
      </c>
    </row>
    <row r="14" spans="1:10" ht="23.1" customHeight="1" x14ac:dyDescent="0.6">
      <c r="A14" s="6" t="s">
        <v>285</v>
      </c>
      <c r="B14" s="7" t="s">
        <v>287</v>
      </c>
      <c r="C14" s="7" t="s">
        <v>287</v>
      </c>
      <c r="D14" s="53">
        <v>15</v>
      </c>
      <c r="E14" s="7">
        <v>535167523</v>
      </c>
      <c r="F14" s="7">
        <v>0</v>
      </c>
      <c r="G14" s="7">
        <f>Table5[[#This Row],[59624695013]]-Table5[[#This Row],[0]]</f>
        <v>535167523</v>
      </c>
      <c r="H14" s="7">
        <v>1057189091</v>
      </c>
      <c r="I14" s="7">
        <v>0</v>
      </c>
      <c r="J14" s="7">
        <f>Table5[[#This Row],[126125123440]]-Table5[[#This Row],[Column9]]</f>
        <v>1057189091</v>
      </c>
    </row>
    <row r="15" spans="1:10" ht="23.1" customHeight="1" x14ac:dyDescent="0.6">
      <c r="A15" s="6" t="s">
        <v>306</v>
      </c>
      <c r="B15" s="7" t="s">
        <v>394</v>
      </c>
      <c r="C15" s="7" t="s">
        <v>308</v>
      </c>
      <c r="D15" s="53">
        <v>16</v>
      </c>
      <c r="E15" s="7">
        <v>6949547869</v>
      </c>
      <c r="F15" s="7">
        <v>0</v>
      </c>
      <c r="G15" s="7">
        <f>Table5[[#This Row],[59624695013]]-Table5[[#This Row],[0]]</f>
        <v>6949547869</v>
      </c>
      <c r="H15" s="7">
        <v>7332550368</v>
      </c>
      <c r="I15" s="7">
        <v>0</v>
      </c>
      <c r="J15" s="7">
        <f>Table5[[#This Row],[126125123440]]-Table5[[#This Row],[Column9]]</f>
        <v>7332550368</v>
      </c>
    </row>
    <row r="16" spans="1:10" ht="23.1" customHeight="1" x14ac:dyDescent="0.6">
      <c r="A16" s="6" t="s">
        <v>291</v>
      </c>
      <c r="B16" s="7" t="s">
        <v>395</v>
      </c>
      <c r="C16" s="7" t="s">
        <v>293</v>
      </c>
      <c r="D16" s="53">
        <v>18</v>
      </c>
      <c r="E16" s="7">
        <v>16065699325</v>
      </c>
      <c r="F16" s="7">
        <v>0</v>
      </c>
      <c r="G16" s="7">
        <f>Table5[[#This Row],[59624695013]]-Table5[[#This Row],[0]]</f>
        <v>16065699325</v>
      </c>
      <c r="H16" s="7">
        <v>18701389628</v>
      </c>
      <c r="I16" s="7">
        <v>0</v>
      </c>
      <c r="J16" s="7">
        <f>Table5[[#This Row],[126125123440]]-Table5[[#This Row],[Column9]]</f>
        <v>18701389628</v>
      </c>
    </row>
    <row r="17" spans="1:10" ht="23.1" customHeight="1" x14ac:dyDescent="0.6">
      <c r="A17" s="6" t="s">
        <v>176</v>
      </c>
      <c r="B17" s="7" t="s">
        <v>381</v>
      </c>
      <c r="C17" s="7" t="s">
        <v>19</v>
      </c>
      <c r="D17" s="7">
        <v>10</v>
      </c>
      <c r="E17" s="7">
        <v>23082256</v>
      </c>
      <c r="F17" s="7">
        <v>0</v>
      </c>
      <c r="G17" s="7">
        <f>Table5[[#This Row],[59624695013]]-Table5[[#This Row],[0]]</f>
        <v>23082256</v>
      </c>
      <c r="H17" s="7">
        <v>36655134</v>
      </c>
      <c r="I17" s="7">
        <v>0</v>
      </c>
      <c r="J17" s="7">
        <f>Table5[[#This Row],[126125123440]]-Table5[[#This Row],[Column9]]</f>
        <v>36655134</v>
      </c>
    </row>
    <row r="18" spans="1:10" ht="23.1" customHeight="1" x14ac:dyDescent="0.6">
      <c r="A18" s="6" t="s">
        <v>174</v>
      </c>
      <c r="B18" s="7" t="s">
        <v>381</v>
      </c>
      <c r="C18" s="7" t="s">
        <v>19</v>
      </c>
      <c r="D18" s="7">
        <v>10</v>
      </c>
      <c r="E18" s="7">
        <v>105601320</v>
      </c>
      <c r="F18" s="7">
        <v>0</v>
      </c>
      <c r="G18" s="7">
        <f>Table5[[#This Row],[59624695013]]-Table5[[#This Row],[0]]</f>
        <v>105601320</v>
      </c>
      <c r="H18" s="7">
        <v>111180888</v>
      </c>
      <c r="I18" s="7">
        <v>0</v>
      </c>
      <c r="J18" s="7">
        <f>Table5[[#This Row],[126125123440]]-Table5[[#This Row],[Column9]]</f>
        <v>111180888</v>
      </c>
    </row>
    <row r="19" spans="1:10" ht="23.1" customHeight="1" x14ac:dyDescent="0.6">
      <c r="A19" s="6" t="s">
        <v>172</v>
      </c>
      <c r="B19" s="7" t="s">
        <v>381</v>
      </c>
      <c r="C19" s="7" t="s">
        <v>19</v>
      </c>
      <c r="D19" s="7">
        <v>10</v>
      </c>
      <c r="E19" s="7">
        <v>5715950</v>
      </c>
      <c r="F19" s="7">
        <v>0</v>
      </c>
      <c r="G19" s="7">
        <f>Table5[[#This Row],[59624695013]]-Table5[[#This Row],[0]]</f>
        <v>5715950</v>
      </c>
      <c r="H19" s="7">
        <v>6115858</v>
      </c>
      <c r="I19" s="7">
        <v>0</v>
      </c>
      <c r="J19" s="7">
        <f>Table5[[#This Row],[126125123440]]-Table5[[#This Row],[Column9]]</f>
        <v>6115858</v>
      </c>
    </row>
    <row r="20" spans="1:10" ht="23.1" customHeight="1" x14ac:dyDescent="0.6">
      <c r="A20" s="6" t="s">
        <v>170</v>
      </c>
      <c r="B20" s="7" t="s">
        <v>409</v>
      </c>
      <c r="C20" s="7" t="s">
        <v>19</v>
      </c>
      <c r="D20" s="7">
        <v>10</v>
      </c>
      <c r="E20" s="7">
        <v>424651</v>
      </c>
      <c r="F20" s="7">
        <v>0</v>
      </c>
      <c r="G20" s="7">
        <f>Table5[[#This Row],[59624695013]]-Table5[[#This Row],[0]]</f>
        <v>424651</v>
      </c>
      <c r="H20" s="7">
        <v>821911</v>
      </c>
      <c r="I20" s="7">
        <v>0</v>
      </c>
      <c r="J20" s="7">
        <f>Table5[[#This Row],[126125123440]]-Table5[[#This Row],[Column9]]</f>
        <v>821911</v>
      </c>
    </row>
    <row r="21" spans="1:10" ht="23.1" customHeight="1" x14ac:dyDescent="0.6">
      <c r="A21" s="6" t="s">
        <v>168</v>
      </c>
      <c r="B21" s="7" t="s">
        <v>409</v>
      </c>
      <c r="C21" s="7" t="s">
        <v>19</v>
      </c>
      <c r="D21" s="7">
        <v>10</v>
      </c>
      <c r="E21" s="7">
        <v>691437</v>
      </c>
      <c r="F21" s="7">
        <v>0</v>
      </c>
      <c r="G21" s="7">
        <f>Table5[[#This Row],[59624695013]]-Table5[[#This Row],[0]]</f>
        <v>691437</v>
      </c>
      <c r="H21" s="7">
        <v>6499229</v>
      </c>
      <c r="I21" s="7">
        <v>0</v>
      </c>
      <c r="J21" s="7">
        <f>Table5[[#This Row],[126125123440]]-Table5[[#This Row],[Column9]]</f>
        <v>6499229</v>
      </c>
    </row>
    <row r="22" spans="1:10" ht="23.1" customHeight="1" x14ac:dyDescent="0.6">
      <c r="A22" s="6" t="s">
        <v>166</v>
      </c>
      <c r="B22" s="7" t="s">
        <v>409</v>
      </c>
      <c r="C22" s="7" t="s">
        <v>19</v>
      </c>
      <c r="D22" s="7">
        <v>10</v>
      </c>
      <c r="E22" s="7">
        <v>8218664</v>
      </c>
      <c r="F22" s="7">
        <v>0</v>
      </c>
      <c r="G22" s="7">
        <f>Table5[[#This Row],[59624695013]]-Table5[[#This Row],[0]]</f>
        <v>8218664</v>
      </c>
      <c r="H22" s="7">
        <v>41717643</v>
      </c>
      <c r="I22" s="7">
        <v>0</v>
      </c>
      <c r="J22" s="7">
        <f>Table5[[#This Row],[126125123440]]-Table5[[#This Row],[Column9]]</f>
        <v>41717643</v>
      </c>
    </row>
    <row r="23" spans="1:10" ht="23.1" customHeight="1" x14ac:dyDescent="0.6">
      <c r="A23" s="6" t="s">
        <v>164</v>
      </c>
      <c r="B23" s="7" t="s">
        <v>377</v>
      </c>
      <c r="C23" s="7" t="s">
        <v>19</v>
      </c>
      <c r="D23" s="7">
        <v>10</v>
      </c>
      <c r="E23" s="7">
        <v>36430854</v>
      </c>
      <c r="F23" s="7">
        <v>0</v>
      </c>
      <c r="G23" s="7">
        <f>Table5[[#This Row],[59624695013]]-Table5[[#This Row],[0]]</f>
        <v>36430854</v>
      </c>
      <c r="H23" s="7">
        <v>46491177</v>
      </c>
      <c r="I23" s="7">
        <v>0</v>
      </c>
      <c r="J23" s="7">
        <f>Table5[[#This Row],[126125123440]]-Table5[[#This Row],[Column9]]</f>
        <v>46491177</v>
      </c>
    </row>
    <row r="24" spans="1:10" ht="23.1" customHeight="1" x14ac:dyDescent="0.6">
      <c r="A24" s="6" t="s">
        <v>162</v>
      </c>
      <c r="B24" s="7" t="s">
        <v>19</v>
      </c>
      <c r="C24" s="7" t="s">
        <v>19</v>
      </c>
      <c r="D24" s="7">
        <v>10</v>
      </c>
      <c r="E24" s="7">
        <v>141283958</v>
      </c>
      <c r="F24" s="7">
        <v>0</v>
      </c>
      <c r="G24" s="7">
        <f>Table5[[#This Row],[59624695013]]-Table5[[#This Row],[0]]</f>
        <v>141283958</v>
      </c>
      <c r="H24" s="7">
        <v>141681218</v>
      </c>
      <c r="I24" s="7">
        <v>0</v>
      </c>
      <c r="J24" s="7">
        <f>Table5[[#This Row],[126125123440]]-Table5[[#This Row],[Column9]]</f>
        <v>141681218</v>
      </c>
    </row>
    <row r="25" spans="1:10" ht="23.1" customHeight="1" x14ac:dyDescent="0.6">
      <c r="A25" s="6" t="s">
        <v>160</v>
      </c>
      <c r="B25" s="7" t="s">
        <v>381</v>
      </c>
      <c r="C25" s="7" t="s">
        <v>19</v>
      </c>
      <c r="D25" s="7">
        <v>10</v>
      </c>
      <c r="E25" s="7">
        <v>31496488</v>
      </c>
      <c r="F25" s="7">
        <v>0</v>
      </c>
      <c r="G25" s="7">
        <f>Table5[[#This Row],[59624695013]]-Table5[[#This Row],[0]]</f>
        <v>31496488</v>
      </c>
      <c r="H25" s="7">
        <v>31896396</v>
      </c>
      <c r="I25" s="7">
        <v>0</v>
      </c>
      <c r="J25" s="7">
        <f>Table5[[#This Row],[126125123440]]-Table5[[#This Row],[Column9]]</f>
        <v>31896396</v>
      </c>
    </row>
    <row r="26" spans="1:10" ht="23.1" customHeight="1" x14ac:dyDescent="0.6">
      <c r="A26" s="6" t="s">
        <v>158</v>
      </c>
      <c r="B26" s="7" t="s">
        <v>409</v>
      </c>
      <c r="C26" s="7" t="s">
        <v>19</v>
      </c>
      <c r="D26" s="7">
        <v>10</v>
      </c>
      <c r="E26" s="7">
        <v>8093677</v>
      </c>
      <c r="F26" s="7">
        <v>0</v>
      </c>
      <c r="G26" s="7">
        <f>Table5[[#This Row],[59624695013]]-Table5[[#This Row],[0]]</f>
        <v>8093677</v>
      </c>
      <c r="H26" s="7">
        <v>33556350</v>
      </c>
      <c r="I26" s="7">
        <v>0</v>
      </c>
      <c r="J26" s="7">
        <f>Table5[[#This Row],[126125123440]]-Table5[[#This Row],[Column9]]</f>
        <v>33556350</v>
      </c>
    </row>
    <row r="27" spans="1:10" ht="23.1" customHeight="1" x14ac:dyDescent="0.6">
      <c r="A27" s="6" t="s">
        <v>156</v>
      </c>
      <c r="B27" s="7" t="s">
        <v>409</v>
      </c>
      <c r="C27" s="7" t="s">
        <v>19</v>
      </c>
      <c r="D27" s="7">
        <v>10</v>
      </c>
      <c r="E27" s="7">
        <v>1277940</v>
      </c>
      <c r="F27" s="7">
        <v>0</v>
      </c>
      <c r="G27" s="7">
        <f>Table5[[#This Row],[59624695013]]-Table5[[#This Row],[0]]</f>
        <v>1277940</v>
      </c>
      <c r="H27" s="7">
        <v>23519672</v>
      </c>
      <c r="I27" s="7">
        <v>0</v>
      </c>
      <c r="J27" s="7">
        <f>Table5[[#This Row],[126125123440]]-Table5[[#This Row],[Column9]]</f>
        <v>23519672</v>
      </c>
    </row>
    <row r="28" spans="1:10" ht="23.1" customHeight="1" x14ac:dyDescent="0.6">
      <c r="A28" s="6" t="s">
        <v>154</v>
      </c>
      <c r="B28" s="7" t="s">
        <v>409</v>
      </c>
      <c r="C28" s="7" t="s">
        <v>19</v>
      </c>
      <c r="D28" s="7">
        <v>10</v>
      </c>
      <c r="E28" s="7">
        <v>29780828</v>
      </c>
      <c r="F28" s="7">
        <v>0</v>
      </c>
      <c r="G28" s="7">
        <f>Table5[[#This Row],[59624695013]]-Table5[[#This Row],[0]]</f>
        <v>29780828</v>
      </c>
      <c r="H28" s="7">
        <v>55258428</v>
      </c>
      <c r="I28" s="7">
        <v>0</v>
      </c>
      <c r="J28" s="7">
        <f>Table5[[#This Row],[126125123440]]-Table5[[#This Row],[Column9]]</f>
        <v>55258428</v>
      </c>
    </row>
    <row r="29" spans="1:10" ht="23.1" customHeight="1" x14ac:dyDescent="0.6">
      <c r="A29" s="6" t="s">
        <v>152</v>
      </c>
      <c r="B29" s="7" t="s">
        <v>409</v>
      </c>
      <c r="C29" s="7" t="s">
        <v>19</v>
      </c>
      <c r="D29" s="7">
        <v>10</v>
      </c>
      <c r="E29" s="7">
        <v>6434769</v>
      </c>
      <c r="F29" s="7">
        <v>0</v>
      </c>
      <c r="G29" s="7">
        <f>Table5[[#This Row],[59624695013]]-Table5[[#This Row],[0]]</f>
        <v>6434769</v>
      </c>
      <c r="H29" s="7">
        <v>12675840</v>
      </c>
      <c r="I29" s="7">
        <v>0</v>
      </c>
      <c r="J29" s="7">
        <f>Table5[[#This Row],[126125123440]]-Table5[[#This Row],[Column9]]</f>
        <v>12675840</v>
      </c>
    </row>
    <row r="30" spans="1:10" ht="23.1" customHeight="1" x14ac:dyDescent="0.6">
      <c r="A30" s="6" t="s">
        <v>150</v>
      </c>
      <c r="B30" s="7" t="s">
        <v>377</v>
      </c>
      <c r="C30" s="7" t="s">
        <v>19</v>
      </c>
      <c r="D30" s="7">
        <v>10</v>
      </c>
      <c r="E30" s="7">
        <v>11813683</v>
      </c>
      <c r="F30" s="7">
        <v>0</v>
      </c>
      <c r="G30" s="7">
        <f>Table5[[#This Row],[59624695013]]-Table5[[#This Row],[0]]</f>
        <v>11813683</v>
      </c>
      <c r="H30" s="7">
        <v>12238982</v>
      </c>
      <c r="I30" s="7">
        <v>0</v>
      </c>
      <c r="J30" s="7">
        <f>Table5[[#This Row],[126125123440]]-Table5[[#This Row],[Column9]]</f>
        <v>12238982</v>
      </c>
    </row>
    <row r="31" spans="1:10" ht="23.1" customHeight="1" x14ac:dyDescent="0.6">
      <c r="A31" s="6" t="s">
        <v>148</v>
      </c>
      <c r="B31" s="7" t="s">
        <v>377</v>
      </c>
      <c r="C31" s="7" t="s">
        <v>19</v>
      </c>
      <c r="D31" s="7">
        <v>10</v>
      </c>
      <c r="E31" s="7">
        <v>8989730</v>
      </c>
      <c r="F31" s="7">
        <v>0</v>
      </c>
      <c r="G31" s="7">
        <f>Table5[[#This Row],[59624695013]]-Table5[[#This Row],[0]]</f>
        <v>8989730</v>
      </c>
      <c r="H31" s="7">
        <v>9386990</v>
      </c>
      <c r="I31" s="7">
        <v>0</v>
      </c>
      <c r="J31" s="7">
        <f>Table5[[#This Row],[126125123440]]-Table5[[#This Row],[Column9]]</f>
        <v>9386990</v>
      </c>
    </row>
    <row r="32" spans="1:10" ht="23.1" customHeight="1" x14ac:dyDescent="0.6">
      <c r="A32" s="6" t="s">
        <v>146</v>
      </c>
      <c r="B32" s="7" t="s">
        <v>411</v>
      </c>
      <c r="C32" s="7" t="s">
        <v>19</v>
      </c>
      <c r="D32" s="7">
        <v>10</v>
      </c>
      <c r="E32" s="7">
        <v>298029</v>
      </c>
      <c r="F32" s="7">
        <v>0</v>
      </c>
      <c r="G32" s="7">
        <f>Table5[[#This Row],[59624695013]]-Table5[[#This Row],[0]]</f>
        <v>298029</v>
      </c>
      <c r="H32" s="7">
        <v>576830</v>
      </c>
      <c r="I32" s="7">
        <v>0</v>
      </c>
      <c r="J32" s="7">
        <f>Table5[[#This Row],[126125123440]]-Table5[[#This Row],[Column9]]</f>
        <v>576830</v>
      </c>
    </row>
    <row r="33" spans="1:10" ht="23.1" customHeight="1" x14ac:dyDescent="0.6">
      <c r="A33" s="6" t="s">
        <v>144</v>
      </c>
      <c r="B33" s="7" t="s">
        <v>411</v>
      </c>
      <c r="C33" s="7" t="s">
        <v>19</v>
      </c>
      <c r="D33" s="7">
        <v>10</v>
      </c>
      <c r="E33" s="7">
        <v>424657</v>
      </c>
      <c r="F33" s="7">
        <v>0</v>
      </c>
      <c r="G33" s="7">
        <f>Table5[[#This Row],[59624695013]]-Table5[[#This Row],[0]]</f>
        <v>424657</v>
      </c>
      <c r="H33" s="7">
        <v>617633</v>
      </c>
      <c r="I33" s="7">
        <v>0</v>
      </c>
      <c r="J33" s="7">
        <f>Table5[[#This Row],[126125123440]]-Table5[[#This Row],[Column9]]</f>
        <v>617633</v>
      </c>
    </row>
    <row r="34" spans="1:10" ht="23.1" customHeight="1" x14ac:dyDescent="0.6">
      <c r="A34" s="6" t="s">
        <v>142</v>
      </c>
      <c r="B34" s="7" t="s">
        <v>412</v>
      </c>
      <c r="C34" s="7" t="s">
        <v>19</v>
      </c>
      <c r="D34" s="7">
        <v>10</v>
      </c>
      <c r="E34" s="7">
        <v>29514178</v>
      </c>
      <c r="F34" s="7">
        <v>0</v>
      </c>
      <c r="G34" s="7">
        <f>Table5[[#This Row],[59624695013]]-Table5[[#This Row],[0]]</f>
        <v>29514178</v>
      </c>
      <c r="H34" s="7">
        <v>67115128</v>
      </c>
      <c r="I34" s="7">
        <v>0</v>
      </c>
      <c r="J34" s="7">
        <f>Table5[[#This Row],[126125123440]]-Table5[[#This Row],[Column9]]</f>
        <v>67115128</v>
      </c>
    </row>
    <row r="35" spans="1:10" ht="23.1" customHeight="1" x14ac:dyDescent="0.6">
      <c r="A35" s="6" t="s">
        <v>140</v>
      </c>
      <c r="B35" s="7" t="s">
        <v>413</v>
      </c>
      <c r="C35" s="7" t="s">
        <v>19</v>
      </c>
      <c r="D35" s="7">
        <v>10</v>
      </c>
      <c r="E35" s="7">
        <v>11773560</v>
      </c>
      <c r="F35" s="7">
        <v>0</v>
      </c>
      <c r="G35" s="7">
        <f>Table5[[#This Row],[59624695013]]-Table5[[#This Row],[0]]</f>
        <v>11773560</v>
      </c>
      <c r="H35" s="7">
        <v>24619363</v>
      </c>
      <c r="I35" s="7">
        <v>0</v>
      </c>
      <c r="J35" s="7">
        <f>Table5[[#This Row],[126125123440]]-Table5[[#This Row],[Column9]]</f>
        <v>24619363</v>
      </c>
    </row>
    <row r="36" spans="1:10" ht="23.1" customHeight="1" x14ac:dyDescent="0.6">
      <c r="A36" s="6" t="s">
        <v>138</v>
      </c>
      <c r="B36" s="7" t="s">
        <v>381</v>
      </c>
      <c r="C36" s="7" t="s">
        <v>19</v>
      </c>
      <c r="D36" s="7">
        <v>10</v>
      </c>
      <c r="E36" s="7">
        <v>108776298</v>
      </c>
      <c r="F36" s="7">
        <v>0</v>
      </c>
      <c r="G36" s="7">
        <f>Table5[[#This Row],[59624695013]]-Table5[[#This Row],[0]]</f>
        <v>108776298</v>
      </c>
      <c r="H36" s="7">
        <v>141865824</v>
      </c>
      <c r="I36" s="7">
        <v>0</v>
      </c>
      <c r="J36" s="7">
        <f>Table5[[#This Row],[126125123440]]-Table5[[#This Row],[Column9]]</f>
        <v>141865824</v>
      </c>
    </row>
    <row r="37" spans="1:10" ht="23.1" customHeight="1" x14ac:dyDescent="0.6">
      <c r="A37" s="6" t="s">
        <v>136</v>
      </c>
      <c r="B37" s="7" t="s">
        <v>409</v>
      </c>
      <c r="C37" s="7" t="s">
        <v>19</v>
      </c>
      <c r="D37" s="7">
        <v>10</v>
      </c>
      <c r="E37" s="7">
        <v>2844108</v>
      </c>
      <c r="F37" s="7">
        <v>0</v>
      </c>
      <c r="G37" s="7">
        <f>Table5[[#This Row],[59624695013]]-Table5[[#This Row],[0]]</f>
        <v>2844108</v>
      </c>
      <c r="H37" s="7">
        <v>5504726</v>
      </c>
      <c r="I37" s="7">
        <v>0</v>
      </c>
      <c r="J37" s="7">
        <f>Table5[[#This Row],[126125123440]]-Table5[[#This Row],[Column9]]</f>
        <v>5504726</v>
      </c>
    </row>
    <row r="38" spans="1:10" ht="23.1" customHeight="1" x14ac:dyDescent="0.6">
      <c r="A38" s="6" t="s">
        <v>134</v>
      </c>
      <c r="B38" s="7" t="s">
        <v>409</v>
      </c>
      <c r="C38" s="7" t="s">
        <v>19</v>
      </c>
      <c r="D38" s="7">
        <v>10</v>
      </c>
      <c r="E38" s="7">
        <v>26856555</v>
      </c>
      <c r="F38" s="7">
        <v>0</v>
      </c>
      <c r="G38" s="7">
        <f>Table5[[#This Row],[59624695013]]-Table5[[#This Row],[0]]</f>
        <v>26856555</v>
      </c>
      <c r="H38" s="7">
        <v>27255374</v>
      </c>
      <c r="I38" s="7">
        <v>0</v>
      </c>
      <c r="J38" s="7">
        <f>Table5[[#This Row],[126125123440]]-Table5[[#This Row],[Column9]]</f>
        <v>27255374</v>
      </c>
    </row>
    <row r="39" spans="1:10" ht="23.1" customHeight="1" x14ac:dyDescent="0.6">
      <c r="A39" s="6" t="s">
        <v>132</v>
      </c>
      <c r="B39" s="7" t="s">
        <v>409</v>
      </c>
      <c r="C39" s="7" t="s">
        <v>19</v>
      </c>
      <c r="D39" s="7">
        <v>10</v>
      </c>
      <c r="E39" s="7">
        <v>19269870</v>
      </c>
      <c r="F39" s="7">
        <v>0</v>
      </c>
      <c r="G39" s="7">
        <f>Table5[[#This Row],[59624695013]]-Table5[[#This Row],[0]]</f>
        <v>19269870</v>
      </c>
      <c r="H39" s="7">
        <v>34669989</v>
      </c>
      <c r="I39" s="7">
        <v>0</v>
      </c>
      <c r="J39" s="7">
        <f>Table5[[#This Row],[126125123440]]-Table5[[#This Row],[Column9]]</f>
        <v>34669989</v>
      </c>
    </row>
    <row r="40" spans="1:10" ht="23.1" customHeight="1" x14ac:dyDescent="0.6">
      <c r="A40" s="6" t="s">
        <v>130</v>
      </c>
      <c r="B40" s="7" t="s">
        <v>377</v>
      </c>
      <c r="C40" s="7" t="s">
        <v>19</v>
      </c>
      <c r="D40" s="7">
        <v>10</v>
      </c>
      <c r="E40" s="7">
        <v>94110468</v>
      </c>
      <c r="F40" s="7">
        <v>0</v>
      </c>
      <c r="G40" s="7">
        <f>Table5[[#This Row],[59624695013]]-Table5[[#This Row],[0]]</f>
        <v>94110468</v>
      </c>
      <c r="H40" s="7">
        <v>99680182</v>
      </c>
      <c r="I40" s="7">
        <v>0</v>
      </c>
      <c r="J40" s="7">
        <f>Table5[[#This Row],[126125123440]]-Table5[[#This Row],[Column9]]</f>
        <v>99680182</v>
      </c>
    </row>
    <row r="41" spans="1:10" ht="23.1" customHeight="1" x14ac:dyDescent="0.6">
      <c r="A41" s="6" t="s">
        <v>128</v>
      </c>
      <c r="B41" s="7" t="s">
        <v>377</v>
      </c>
      <c r="C41" s="7" t="s">
        <v>19</v>
      </c>
      <c r="D41" s="7">
        <v>10</v>
      </c>
      <c r="E41" s="7">
        <v>19554523</v>
      </c>
      <c r="F41" s="7">
        <v>0</v>
      </c>
      <c r="G41" s="7">
        <f>Table5[[#This Row],[59624695013]]-Table5[[#This Row],[0]]</f>
        <v>19554523</v>
      </c>
      <c r="H41" s="7">
        <v>48795776</v>
      </c>
      <c r="I41" s="7">
        <v>0</v>
      </c>
      <c r="J41" s="7">
        <f>Table5[[#This Row],[126125123440]]-Table5[[#This Row],[Column9]]</f>
        <v>48795776</v>
      </c>
    </row>
    <row r="42" spans="1:10" ht="23.1" customHeight="1" x14ac:dyDescent="0.6">
      <c r="A42" s="6" t="s">
        <v>126</v>
      </c>
      <c r="B42" s="7" t="s">
        <v>411</v>
      </c>
      <c r="C42" s="7" t="s">
        <v>19</v>
      </c>
      <c r="D42" s="7">
        <v>10</v>
      </c>
      <c r="E42" s="7">
        <v>424657</v>
      </c>
      <c r="F42" s="7">
        <v>0</v>
      </c>
      <c r="G42" s="7">
        <f>Table5[[#This Row],[59624695013]]-Table5[[#This Row],[0]]</f>
        <v>424657</v>
      </c>
      <c r="H42" s="7">
        <v>821917</v>
      </c>
      <c r="I42" s="7">
        <v>0</v>
      </c>
      <c r="J42" s="7">
        <f>Table5[[#This Row],[126125123440]]-Table5[[#This Row],[Column9]]</f>
        <v>821917</v>
      </c>
    </row>
    <row r="43" spans="1:10" ht="23.1" customHeight="1" x14ac:dyDescent="0.6">
      <c r="A43" s="6" t="s">
        <v>124</v>
      </c>
      <c r="B43" s="7" t="s">
        <v>411</v>
      </c>
      <c r="C43" s="7" t="s">
        <v>19</v>
      </c>
      <c r="D43" s="7">
        <v>10</v>
      </c>
      <c r="E43" s="7">
        <v>6297096</v>
      </c>
      <c r="F43" s="7">
        <v>0</v>
      </c>
      <c r="G43" s="7">
        <f>Table5[[#This Row],[59624695013]]-Table5[[#This Row],[0]]</f>
        <v>6297096</v>
      </c>
      <c r="H43" s="7">
        <v>19305857</v>
      </c>
      <c r="I43" s="7">
        <v>0</v>
      </c>
      <c r="J43" s="7">
        <f>Table5[[#This Row],[126125123440]]-Table5[[#This Row],[Column9]]</f>
        <v>19305857</v>
      </c>
    </row>
    <row r="44" spans="1:10" ht="23.1" customHeight="1" x14ac:dyDescent="0.6">
      <c r="A44" s="6" t="s">
        <v>120</v>
      </c>
      <c r="B44" s="7" t="s">
        <v>381</v>
      </c>
      <c r="C44" s="7" t="s">
        <v>19</v>
      </c>
      <c r="D44" s="7">
        <v>10</v>
      </c>
      <c r="E44" s="7">
        <v>44091700</v>
      </c>
      <c r="F44" s="7">
        <v>0</v>
      </c>
      <c r="G44" s="7">
        <f>Table5[[#This Row],[59624695013]]-Table5[[#This Row],[0]]</f>
        <v>44091700</v>
      </c>
      <c r="H44" s="7">
        <v>69861249</v>
      </c>
      <c r="I44" s="7">
        <v>0</v>
      </c>
      <c r="J44" s="7">
        <f>Table5[[#This Row],[126125123440]]-Table5[[#This Row],[Column9]]</f>
        <v>69861249</v>
      </c>
    </row>
    <row r="45" spans="1:10" ht="23.1" customHeight="1" x14ac:dyDescent="0.6">
      <c r="A45" s="6" t="s">
        <v>116</v>
      </c>
      <c r="B45" s="7" t="s">
        <v>409</v>
      </c>
      <c r="C45" s="7" t="s">
        <v>19</v>
      </c>
      <c r="D45" s="7">
        <v>10</v>
      </c>
      <c r="E45" s="7">
        <v>1439</v>
      </c>
      <c r="F45" s="7">
        <v>0</v>
      </c>
      <c r="G45" s="7">
        <f>Table5[[#This Row],[59624695013]]-Table5[[#This Row],[0]]</f>
        <v>1439</v>
      </c>
      <c r="H45" s="7">
        <v>2775</v>
      </c>
      <c r="I45" s="7">
        <v>0</v>
      </c>
      <c r="J45" s="7">
        <f>Table5[[#This Row],[126125123440]]-Table5[[#This Row],[Column9]]</f>
        <v>2775</v>
      </c>
    </row>
    <row r="46" spans="1:10" ht="23.1" customHeight="1" x14ac:dyDescent="0.6">
      <c r="A46" s="6" t="s">
        <v>114</v>
      </c>
      <c r="B46" s="7" t="s">
        <v>409</v>
      </c>
      <c r="C46" s="7" t="s">
        <v>19</v>
      </c>
      <c r="D46" s="7">
        <v>10</v>
      </c>
      <c r="E46" s="7">
        <v>30512581</v>
      </c>
      <c r="F46" s="7">
        <v>0</v>
      </c>
      <c r="G46" s="7">
        <f>Table5[[#This Row],[59624695013]]-Table5[[#This Row],[0]]</f>
        <v>30512581</v>
      </c>
      <c r="H46" s="7">
        <v>59056608</v>
      </c>
      <c r="I46" s="7">
        <v>0</v>
      </c>
      <c r="J46" s="7">
        <f>Table5[[#This Row],[126125123440]]-Table5[[#This Row],[Column9]]</f>
        <v>59056608</v>
      </c>
    </row>
    <row r="47" spans="1:10" ht="23.1" customHeight="1" x14ac:dyDescent="0.6">
      <c r="A47" s="6" t="s">
        <v>112</v>
      </c>
      <c r="B47" s="7" t="s">
        <v>409</v>
      </c>
      <c r="C47" s="7" t="s">
        <v>19</v>
      </c>
      <c r="D47" s="7">
        <v>10</v>
      </c>
      <c r="E47" s="7">
        <v>424657</v>
      </c>
      <c r="F47" s="7">
        <v>0</v>
      </c>
      <c r="G47" s="7">
        <f>Table5[[#This Row],[59624695013]]-Table5[[#This Row],[0]]</f>
        <v>424657</v>
      </c>
      <c r="H47" s="7">
        <v>18421054</v>
      </c>
      <c r="I47" s="7">
        <v>0</v>
      </c>
      <c r="J47" s="7">
        <f>Table5[[#This Row],[126125123440]]-Table5[[#This Row],[Column9]]</f>
        <v>18421054</v>
      </c>
    </row>
    <row r="48" spans="1:10" ht="23.1" customHeight="1" x14ac:dyDescent="0.6">
      <c r="A48" s="6" t="s">
        <v>110</v>
      </c>
      <c r="B48" s="7" t="s">
        <v>409</v>
      </c>
      <c r="C48" s="7" t="s">
        <v>19</v>
      </c>
      <c r="D48" s="7">
        <v>10</v>
      </c>
      <c r="E48" s="7">
        <v>27749237</v>
      </c>
      <c r="F48" s="7">
        <v>0</v>
      </c>
      <c r="G48" s="7">
        <f>Table5[[#This Row],[59624695013]]-Table5[[#This Row],[0]]</f>
        <v>27749237</v>
      </c>
      <c r="H48" s="7">
        <v>65448105</v>
      </c>
      <c r="I48" s="7">
        <v>0</v>
      </c>
      <c r="J48" s="7">
        <f>Table5[[#This Row],[126125123440]]-Table5[[#This Row],[Column9]]</f>
        <v>65448105</v>
      </c>
    </row>
    <row r="49" spans="1:10" ht="23.1" customHeight="1" x14ac:dyDescent="0.6">
      <c r="A49" s="6" t="s">
        <v>108</v>
      </c>
      <c r="B49" s="7" t="s">
        <v>409</v>
      </c>
      <c r="C49" s="7" t="s">
        <v>19</v>
      </c>
      <c r="D49" s="7">
        <v>10</v>
      </c>
      <c r="E49" s="7">
        <v>424657</v>
      </c>
      <c r="F49" s="7">
        <v>0</v>
      </c>
      <c r="G49" s="7">
        <f>Table5[[#This Row],[59624695013]]-Table5[[#This Row],[0]]</f>
        <v>424657</v>
      </c>
      <c r="H49" s="7">
        <v>37800628</v>
      </c>
      <c r="I49" s="7">
        <v>0</v>
      </c>
      <c r="J49" s="7">
        <f>Table5[[#This Row],[126125123440]]-Table5[[#This Row],[Column9]]</f>
        <v>37800628</v>
      </c>
    </row>
    <row r="50" spans="1:10" ht="23.1" customHeight="1" x14ac:dyDescent="0.6">
      <c r="A50" s="6" t="s">
        <v>106</v>
      </c>
      <c r="B50" s="7" t="s">
        <v>377</v>
      </c>
      <c r="C50" s="7" t="s">
        <v>19</v>
      </c>
      <c r="D50" s="7">
        <v>10</v>
      </c>
      <c r="E50" s="7">
        <v>44927941</v>
      </c>
      <c r="F50" s="7">
        <v>0</v>
      </c>
      <c r="G50" s="7">
        <f>Table5[[#This Row],[59624695013]]-Table5[[#This Row],[0]]</f>
        <v>44927941</v>
      </c>
      <c r="H50" s="7">
        <v>54156738</v>
      </c>
      <c r="I50" s="7">
        <v>0</v>
      </c>
      <c r="J50" s="7">
        <f>Table5[[#This Row],[126125123440]]-Table5[[#This Row],[Column9]]</f>
        <v>54156738</v>
      </c>
    </row>
    <row r="51" spans="1:10" ht="23.1" customHeight="1" x14ac:dyDescent="0.6">
      <c r="A51" s="6" t="s">
        <v>104</v>
      </c>
      <c r="B51" s="7" t="s">
        <v>377</v>
      </c>
      <c r="C51" s="7" t="s">
        <v>19</v>
      </c>
      <c r="D51" s="7">
        <v>10</v>
      </c>
      <c r="E51" s="7">
        <v>8318205</v>
      </c>
      <c r="F51" s="7">
        <v>0</v>
      </c>
      <c r="G51" s="7">
        <f>Table5[[#This Row],[59624695013]]-Table5[[#This Row],[0]]</f>
        <v>8318205</v>
      </c>
      <c r="H51" s="7">
        <v>11343492</v>
      </c>
      <c r="I51" s="7">
        <v>0</v>
      </c>
      <c r="J51" s="7">
        <f>Table5[[#This Row],[126125123440]]-Table5[[#This Row],[Column9]]</f>
        <v>11343492</v>
      </c>
    </row>
    <row r="52" spans="1:10" ht="23.1" customHeight="1" x14ac:dyDescent="0.6">
      <c r="A52" s="6" t="s">
        <v>102</v>
      </c>
      <c r="B52" s="7" t="s">
        <v>412</v>
      </c>
      <c r="C52" s="7" t="s">
        <v>19</v>
      </c>
      <c r="D52" s="7">
        <v>10</v>
      </c>
      <c r="E52" s="7">
        <v>40263570</v>
      </c>
      <c r="F52" s="7">
        <v>0</v>
      </c>
      <c r="G52" s="7">
        <f>Table5[[#This Row],[59624695013]]-Table5[[#This Row],[0]]</f>
        <v>40263570</v>
      </c>
      <c r="H52" s="7">
        <v>43248242</v>
      </c>
      <c r="I52" s="7">
        <v>0</v>
      </c>
      <c r="J52" s="7">
        <f>Table5[[#This Row],[126125123440]]-Table5[[#This Row],[Column9]]</f>
        <v>43248242</v>
      </c>
    </row>
    <row r="53" spans="1:10" ht="23.1" customHeight="1" x14ac:dyDescent="0.6">
      <c r="A53" s="6" t="s">
        <v>100</v>
      </c>
      <c r="B53" s="7" t="s">
        <v>412</v>
      </c>
      <c r="C53" s="7" t="s">
        <v>19</v>
      </c>
      <c r="D53" s="7">
        <v>10</v>
      </c>
      <c r="E53" s="7">
        <v>16928174</v>
      </c>
      <c r="F53" s="7">
        <v>0</v>
      </c>
      <c r="G53" s="7">
        <f>Table5[[#This Row],[59624695013]]-Table5[[#This Row],[0]]</f>
        <v>16928174</v>
      </c>
      <c r="H53" s="7">
        <v>41937428</v>
      </c>
      <c r="I53" s="7">
        <v>0</v>
      </c>
      <c r="J53" s="7">
        <f>Table5[[#This Row],[126125123440]]-Table5[[#This Row],[Column9]]</f>
        <v>41937428</v>
      </c>
    </row>
    <row r="54" spans="1:10" ht="23.1" customHeight="1" x14ac:dyDescent="0.6">
      <c r="A54" s="6" t="s">
        <v>98</v>
      </c>
      <c r="B54" s="7" t="s">
        <v>381</v>
      </c>
      <c r="C54" s="7" t="s">
        <v>19</v>
      </c>
      <c r="D54" s="7">
        <v>10</v>
      </c>
      <c r="E54" s="7">
        <v>123384721</v>
      </c>
      <c r="F54" s="7">
        <v>0</v>
      </c>
      <c r="G54" s="7">
        <f>Table5[[#This Row],[59624695013]]-Table5[[#This Row],[0]]</f>
        <v>123384721</v>
      </c>
      <c r="H54" s="7">
        <v>139232131</v>
      </c>
      <c r="I54" s="7">
        <v>0</v>
      </c>
      <c r="J54" s="7">
        <f>Table5[[#This Row],[126125123440]]-Table5[[#This Row],[Column9]]</f>
        <v>139232131</v>
      </c>
    </row>
    <row r="55" spans="1:10" ht="23.1" customHeight="1" x14ac:dyDescent="0.6">
      <c r="A55" s="6" t="s">
        <v>96</v>
      </c>
      <c r="B55" s="7" t="s">
        <v>409</v>
      </c>
      <c r="C55" s="7" t="s">
        <v>19</v>
      </c>
      <c r="D55" s="7">
        <v>10</v>
      </c>
      <c r="E55" s="7">
        <v>49319247</v>
      </c>
      <c r="F55" s="7">
        <v>0</v>
      </c>
      <c r="G55" s="7">
        <f>Table5[[#This Row],[59624695013]]-Table5[[#This Row],[0]]</f>
        <v>49319247</v>
      </c>
      <c r="H55" s="7">
        <v>51068556</v>
      </c>
      <c r="I55" s="7">
        <v>0</v>
      </c>
      <c r="J55" s="7">
        <f>Table5[[#This Row],[126125123440]]-Table5[[#This Row],[Column9]]</f>
        <v>51068556</v>
      </c>
    </row>
    <row r="56" spans="1:10" ht="23.1" customHeight="1" x14ac:dyDescent="0.6">
      <c r="A56" s="6" t="s">
        <v>94</v>
      </c>
      <c r="B56" s="7" t="s">
        <v>409</v>
      </c>
      <c r="C56" s="7" t="s">
        <v>19</v>
      </c>
      <c r="D56" s="7">
        <v>10</v>
      </c>
      <c r="E56" s="7">
        <v>22590430</v>
      </c>
      <c r="F56" s="7">
        <v>0</v>
      </c>
      <c r="G56" s="7">
        <f>Table5[[#This Row],[59624695013]]-Table5[[#This Row],[0]]</f>
        <v>22590430</v>
      </c>
      <c r="H56" s="7">
        <v>27166339</v>
      </c>
      <c r="I56" s="7">
        <v>0</v>
      </c>
      <c r="J56" s="7">
        <f>Table5[[#This Row],[126125123440]]-Table5[[#This Row],[Column9]]</f>
        <v>27166339</v>
      </c>
    </row>
    <row r="57" spans="1:10" ht="23.1" customHeight="1" x14ac:dyDescent="0.6">
      <c r="A57" s="6" t="s">
        <v>92</v>
      </c>
      <c r="B57" s="7" t="s">
        <v>409</v>
      </c>
      <c r="C57" s="7" t="s">
        <v>19</v>
      </c>
      <c r="D57" s="7">
        <v>10</v>
      </c>
      <c r="E57" s="7">
        <v>25992384</v>
      </c>
      <c r="F57" s="7">
        <v>0</v>
      </c>
      <c r="G57" s="7">
        <f>Table5[[#This Row],[59624695013]]-Table5[[#This Row],[0]]</f>
        <v>25992384</v>
      </c>
      <c r="H57" s="7">
        <v>33302280</v>
      </c>
      <c r="I57" s="7">
        <v>0</v>
      </c>
      <c r="J57" s="7">
        <f>Table5[[#This Row],[126125123440]]-Table5[[#This Row],[Column9]]</f>
        <v>33302280</v>
      </c>
    </row>
    <row r="58" spans="1:10" ht="23.1" customHeight="1" x14ac:dyDescent="0.6">
      <c r="A58" s="6" t="s">
        <v>90</v>
      </c>
      <c r="B58" s="7" t="s">
        <v>409</v>
      </c>
      <c r="C58" s="7" t="s">
        <v>19</v>
      </c>
      <c r="D58" s="7">
        <v>10</v>
      </c>
      <c r="E58" s="7">
        <v>424657</v>
      </c>
      <c r="F58" s="7">
        <v>0</v>
      </c>
      <c r="G58" s="7">
        <f>Table5[[#This Row],[59624695013]]-Table5[[#This Row],[0]]</f>
        <v>424657</v>
      </c>
      <c r="H58" s="7">
        <v>821917</v>
      </c>
      <c r="I58" s="7">
        <v>0</v>
      </c>
      <c r="J58" s="7">
        <f>Table5[[#This Row],[126125123440]]-Table5[[#This Row],[Column9]]</f>
        <v>821917</v>
      </c>
    </row>
    <row r="59" spans="1:10" ht="23.1" customHeight="1" x14ac:dyDescent="0.6">
      <c r="A59" s="6" t="s">
        <v>88</v>
      </c>
      <c r="B59" s="7" t="s">
        <v>377</v>
      </c>
      <c r="C59" s="7" t="s">
        <v>19</v>
      </c>
      <c r="D59" s="7">
        <v>10</v>
      </c>
      <c r="E59" s="7">
        <v>35173618</v>
      </c>
      <c r="F59" s="7">
        <v>0</v>
      </c>
      <c r="G59" s="7">
        <f>Table5[[#This Row],[59624695013]]-Table5[[#This Row],[0]]</f>
        <v>35173618</v>
      </c>
      <c r="H59" s="7">
        <v>44243916</v>
      </c>
      <c r="I59" s="7">
        <v>0</v>
      </c>
      <c r="J59" s="7">
        <f>Table5[[#This Row],[126125123440]]-Table5[[#This Row],[Column9]]</f>
        <v>44243916</v>
      </c>
    </row>
    <row r="60" spans="1:10" ht="23.1" customHeight="1" x14ac:dyDescent="0.6">
      <c r="A60" s="6" t="s">
        <v>86</v>
      </c>
      <c r="B60" s="7" t="s">
        <v>377</v>
      </c>
      <c r="C60" s="7" t="s">
        <v>19</v>
      </c>
      <c r="D60" s="7">
        <v>10</v>
      </c>
      <c r="E60" s="7">
        <v>66358954</v>
      </c>
      <c r="F60" s="7">
        <v>0</v>
      </c>
      <c r="G60" s="7">
        <f>Table5[[#This Row],[59624695013]]-Table5[[#This Row],[0]]</f>
        <v>66358954</v>
      </c>
      <c r="H60" s="7">
        <v>109807549</v>
      </c>
      <c r="I60" s="7">
        <v>0</v>
      </c>
      <c r="J60" s="7">
        <f>Table5[[#This Row],[126125123440]]-Table5[[#This Row],[Column9]]</f>
        <v>109807549</v>
      </c>
    </row>
    <row r="61" spans="1:10" ht="23.1" customHeight="1" x14ac:dyDescent="0.6">
      <c r="A61" s="6" t="s">
        <v>84</v>
      </c>
      <c r="B61" s="7" t="s">
        <v>377</v>
      </c>
      <c r="C61" s="7" t="s">
        <v>19</v>
      </c>
      <c r="D61" s="7">
        <v>10</v>
      </c>
      <c r="E61" s="7">
        <v>424657</v>
      </c>
      <c r="F61" s="7">
        <v>0</v>
      </c>
      <c r="G61" s="7">
        <f>Table5[[#This Row],[59624695013]]-Table5[[#This Row],[0]]</f>
        <v>424657</v>
      </c>
      <c r="H61" s="7">
        <v>821917</v>
      </c>
      <c r="I61" s="7">
        <v>0</v>
      </c>
      <c r="J61" s="7">
        <f>Table5[[#This Row],[126125123440]]-Table5[[#This Row],[Column9]]</f>
        <v>821917</v>
      </c>
    </row>
    <row r="62" spans="1:10" ht="23.1" customHeight="1" x14ac:dyDescent="0.6">
      <c r="A62" s="6" t="s">
        <v>82</v>
      </c>
      <c r="B62" s="7" t="s">
        <v>411</v>
      </c>
      <c r="C62" s="7" t="s">
        <v>19</v>
      </c>
      <c r="D62" s="7">
        <v>10</v>
      </c>
      <c r="E62" s="7">
        <v>424657</v>
      </c>
      <c r="F62" s="7">
        <v>0</v>
      </c>
      <c r="G62" s="7">
        <f>Table5[[#This Row],[59624695013]]-Table5[[#This Row],[0]]</f>
        <v>424657</v>
      </c>
      <c r="H62" s="7">
        <v>821917</v>
      </c>
      <c r="I62" s="7">
        <v>0</v>
      </c>
      <c r="J62" s="7">
        <f>Table5[[#This Row],[126125123440]]-Table5[[#This Row],[Column9]]</f>
        <v>821917</v>
      </c>
    </row>
    <row r="63" spans="1:10" ht="23.1" customHeight="1" x14ac:dyDescent="0.6">
      <c r="A63" s="6" t="s">
        <v>80</v>
      </c>
      <c r="B63" s="7" t="s">
        <v>381</v>
      </c>
      <c r="C63" s="7" t="s">
        <v>19</v>
      </c>
      <c r="D63" s="7">
        <v>10</v>
      </c>
      <c r="E63" s="7">
        <v>46758563</v>
      </c>
      <c r="F63" s="7">
        <v>0</v>
      </c>
      <c r="G63" s="7">
        <f>Table5[[#This Row],[59624695013]]-Table5[[#This Row],[0]]</f>
        <v>46758563</v>
      </c>
      <c r="H63" s="7">
        <v>47158471</v>
      </c>
      <c r="I63" s="7">
        <v>0</v>
      </c>
      <c r="J63" s="7">
        <f>Table5[[#This Row],[126125123440]]-Table5[[#This Row],[Column9]]</f>
        <v>47158471</v>
      </c>
    </row>
    <row r="64" spans="1:10" ht="23.1" customHeight="1" x14ac:dyDescent="0.6">
      <c r="A64" s="6" t="s">
        <v>78</v>
      </c>
      <c r="B64" s="7" t="s">
        <v>381</v>
      </c>
      <c r="C64" s="7" t="s">
        <v>19</v>
      </c>
      <c r="D64" s="7">
        <v>10</v>
      </c>
      <c r="E64" s="7">
        <v>42315062</v>
      </c>
      <c r="F64" s="7">
        <v>0</v>
      </c>
      <c r="G64" s="7">
        <f>Table5[[#This Row],[59624695013]]-Table5[[#This Row],[0]]</f>
        <v>42315062</v>
      </c>
      <c r="H64" s="7">
        <v>81900120</v>
      </c>
      <c r="I64" s="7">
        <v>0</v>
      </c>
      <c r="J64" s="7">
        <f>Table5[[#This Row],[126125123440]]-Table5[[#This Row],[Column9]]</f>
        <v>81900120</v>
      </c>
    </row>
    <row r="65" spans="1:10" ht="23.1" customHeight="1" x14ac:dyDescent="0.6">
      <c r="A65" s="6" t="s">
        <v>76</v>
      </c>
      <c r="B65" s="7" t="s">
        <v>381</v>
      </c>
      <c r="C65" s="7" t="s">
        <v>19</v>
      </c>
      <c r="D65" s="7">
        <v>10</v>
      </c>
      <c r="E65" s="7">
        <v>23549635</v>
      </c>
      <c r="F65" s="7">
        <v>0</v>
      </c>
      <c r="G65" s="7">
        <f>Table5[[#This Row],[59624695013]]-Table5[[#This Row],[0]]</f>
        <v>23549635</v>
      </c>
      <c r="H65" s="7">
        <v>25580626</v>
      </c>
      <c r="I65" s="7">
        <v>0</v>
      </c>
      <c r="J65" s="7">
        <f>Table5[[#This Row],[126125123440]]-Table5[[#This Row],[Column9]]</f>
        <v>25580626</v>
      </c>
    </row>
    <row r="66" spans="1:10" ht="23.1" customHeight="1" x14ac:dyDescent="0.6">
      <c r="A66" s="6" t="s">
        <v>74</v>
      </c>
      <c r="B66" s="7" t="s">
        <v>409</v>
      </c>
      <c r="C66" s="7" t="s">
        <v>19</v>
      </c>
      <c r="D66" s="7">
        <v>10</v>
      </c>
      <c r="E66" s="7">
        <v>42637800</v>
      </c>
      <c r="F66" s="7">
        <v>0</v>
      </c>
      <c r="G66" s="7">
        <f>Table5[[#This Row],[59624695013]]-Table5[[#This Row],[0]]</f>
        <v>42637800</v>
      </c>
      <c r="H66" s="7">
        <v>47719124</v>
      </c>
      <c r="I66" s="7">
        <v>0</v>
      </c>
      <c r="J66" s="7">
        <f>Table5[[#This Row],[126125123440]]-Table5[[#This Row],[Column9]]</f>
        <v>47719124</v>
      </c>
    </row>
    <row r="67" spans="1:10" ht="23.1" customHeight="1" x14ac:dyDescent="0.6">
      <c r="A67" s="6" t="s">
        <v>72</v>
      </c>
      <c r="B67" s="7" t="s">
        <v>409</v>
      </c>
      <c r="C67" s="7" t="s">
        <v>19</v>
      </c>
      <c r="D67" s="7">
        <v>10</v>
      </c>
      <c r="E67" s="7">
        <v>18827464</v>
      </c>
      <c r="F67" s="7">
        <v>0</v>
      </c>
      <c r="G67" s="7">
        <f>Table5[[#This Row],[59624695013]]-Table5[[#This Row],[0]]</f>
        <v>18827464</v>
      </c>
      <c r="H67" s="7">
        <v>22727966</v>
      </c>
      <c r="I67" s="7">
        <v>0</v>
      </c>
      <c r="J67" s="7">
        <f>Table5[[#This Row],[126125123440]]-Table5[[#This Row],[Column9]]</f>
        <v>22727966</v>
      </c>
    </row>
    <row r="68" spans="1:10" ht="23.1" customHeight="1" x14ac:dyDescent="0.6">
      <c r="A68" s="6" t="s">
        <v>70</v>
      </c>
      <c r="B68" s="7" t="s">
        <v>409</v>
      </c>
      <c r="C68" s="7" t="s">
        <v>19</v>
      </c>
      <c r="D68" s="7">
        <v>10</v>
      </c>
      <c r="E68" s="7">
        <v>24449097</v>
      </c>
      <c r="F68" s="7">
        <v>0</v>
      </c>
      <c r="G68" s="7">
        <f>Table5[[#This Row],[59624695013]]-Table5[[#This Row],[0]]</f>
        <v>24449097</v>
      </c>
      <c r="H68" s="7">
        <v>47320833</v>
      </c>
      <c r="I68" s="7">
        <v>0</v>
      </c>
      <c r="J68" s="7">
        <f>Table5[[#This Row],[126125123440]]-Table5[[#This Row],[Column9]]</f>
        <v>47320833</v>
      </c>
    </row>
    <row r="69" spans="1:10" ht="23.1" customHeight="1" x14ac:dyDescent="0.6">
      <c r="A69" s="6" t="s">
        <v>68</v>
      </c>
      <c r="B69" s="7" t="s">
        <v>409</v>
      </c>
      <c r="C69" s="7" t="s">
        <v>19</v>
      </c>
      <c r="D69" s="7">
        <v>10</v>
      </c>
      <c r="E69" s="7">
        <v>9849151</v>
      </c>
      <c r="F69" s="7">
        <v>0</v>
      </c>
      <c r="G69" s="7">
        <f>Table5[[#This Row],[59624695013]]-Table5[[#This Row],[0]]</f>
        <v>9849151</v>
      </c>
      <c r="H69" s="7">
        <v>10381249</v>
      </c>
      <c r="I69" s="7">
        <v>0</v>
      </c>
      <c r="J69" s="7">
        <f>Table5[[#This Row],[126125123440]]-Table5[[#This Row],[Column9]]</f>
        <v>10381249</v>
      </c>
    </row>
    <row r="70" spans="1:10" ht="23.1" customHeight="1" x14ac:dyDescent="0.6">
      <c r="A70" s="6" t="s">
        <v>66</v>
      </c>
      <c r="B70" s="7" t="s">
        <v>377</v>
      </c>
      <c r="C70" s="7" t="s">
        <v>19</v>
      </c>
      <c r="D70" s="7">
        <v>10</v>
      </c>
      <c r="E70" s="7">
        <v>58071140</v>
      </c>
      <c r="F70" s="7">
        <v>0</v>
      </c>
      <c r="G70" s="7">
        <f>Table5[[#This Row],[59624695013]]-Table5[[#This Row],[0]]</f>
        <v>58071140</v>
      </c>
      <c r="H70" s="7">
        <v>58468400</v>
      </c>
      <c r="I70" s="7">
        <v>0</v>
      </c>
      <c r="J70" s="7">
        <f>Table5[[#This Row],[126125123440]]-Table5[[#This Row],[Column9]]</f>
        <v>58468400</v>
      </c>
    </row>
    <row r="71" spans="1:10" ht="23.1" customHeight="1" x14ac:dyDescent="0.6">
      <c r="A71" s="6" t="s">
        <v>64</v>
      </c>
      <c r="B71" s="7" t="s">
        <v>377</v>
      </c>
      <c r="C71" s="7" t="s">
        <v>19</v>
      </c>
      <c r="D71" s="7">
        <v>10</v>
      </c>
      <c r="E71" s="7">
        <v>35827917</v>
      </c>
      <c r="F71" s="7">
        <v>0</v>
      </c>
      <c r="G71" s="7">
        <f>Table5[[#This Row],[59624695013]]-Table5[[#This Row],[0]]</f>
        <v>35827917</v>
      </c>
      <c r="H71" s="7">
        <v>56632942</v>
      </c>
      <c r="I71" s="7">
        <v>0</v>
      </c>
      <c r="J71" s="7">
        <f>Table5[[#This Row],[126125123440]]-Table5[[#This Row],[Column9]]</f>
        <v>56632942</v>
      </c>
    </row>
    <row r="72" spans="1:10" ht="23.1" customHeight="1" x14ac:dyDescent="0.6">
      <c r="A72" s="6" t="s">
        <v>62</v>
      </c>
      <c r="B72" s="7" t="s">
        <v>381</v>
      </c>
      <c r="C72" s="7" t="s">
        <v>19</v>
      </c>
      <c r="D72" s="7">
        <v>10</v>
      </c>
      <c r="E72" s="7">
        <v>68263319</v>
      </c>
      <c r="F72" s="7">
        <v>0</v>
      </c>
      <c r="G72" s="7">
        <f>Table5[[#This Row],[59624695013]]-Table5[[#This Row],[0]]</f>
        <v>68263319</v>
      </c>
      <c r="H72" s="7">
        <v>75320964</v>
      </c>
      <c r="I72" s="7">
        <v>0</v>
      </c>
      <c r="J72" s="7">
        <f>Table5[[#This Row],[126125123440]]-Table5[[#This Row],[Column9]]</f>
        <v>75320964</v>
      </c>
    </row>
    <row r="73" spans="1:10" ht="23.1" customHeight="1" x14ac:dyDescent="0.6">
      <c r="A73" s="6" t="s">
        <v>60</v>
      </c>
      <c r="B73" s="7" t="s">
        <v>381</v>
      </c>
      <c r="C73" s="7" t="s">
        <v>19</v>
      </c>
      <c r="D73" s="7">
        <v>10</v>
      </c>
      <c r="E73" s="7">
        <v>24195274</v>
      </c>
      <c r="F73" s="7">
        <v>0</v>
      </c>
      <c r="G73" s="7">
        <f>Table5[[#This Row],[59624695013]]-Table5[[#This Row],[0]]</f>
        <v>24195274</v>
      </c>
      <c r="H73" s="7">
        <v>24633095</v>
      </c>
      <c r="I73" s="7">
        <v>0</v>
      </c>
      <c r="J73" s="7">
        <f>Table5[[#This Row],[126125123440]]-Table5[[#This Row],[Column9]]</f>
        <v>24633095</v>
      </c>
    </row>
    <row r="74" spans="1:10" ht="23.1" customHeight="1" x14ac:dyDescent="0.6">
      <c r="A74" s="6" t="s">
        <v>58</v>
      </c>
      <c r="B74" s="7" t="s">
        <v>409</v>
      </c>
      <c r="C74" s="7" t="s">
        <v>19</v>
      </c>
      <c r="D74" s="7">
        <v>10</v>
      </c>
      <c r="E74" s="7">
        <v>424657</v>
      </c>
      <c r="F74" s="7">
        <v>0</v>
      </c>
      <c r="G74" s="7">
        <f>Table5[[#This Row],[59624695013]]-Table5[[#This Row],[0]]</f>
        <v>424657</v>
      </c>
      <c r="H74" s="7">
        <v>1192572</v>
      </c>
      <c r="I74" s="7">
        <v>0</v>
      </c>
      <c r="J74" s="7">
        <f>Table5[[#This Row],[126125123440]]-Table5[[#This Row],[Column9]]</f>
        <v>1192572</v>
      </c>
    </row>
    <row r="75" spans="1:10" ht="23.1" customHeight="1" x14ac:dyDescent="0.6">
      <c r="A75" s="6" t="s">
        <v>56</v>
      </c>
      <c r="B75" s="7" t="s">
        <v>409</v>
      </c>
      <c r="C75" s="7" t="s">
        <v>19</v>
      </c>
      <c r="D75" s="7">
        <v>10</v>
      </c>
      <c r="E75" s="7">
        <v>21517317</v>
      </c>
      <c r="F75" s="7">
        <v>0</v>
      </c>
      <c r="G75" s="7">
        <f>Table5[[#This Row],[59624695013]]-Table5[[#This Row],[0]]</f>
        <v>21517317</v>
      </c>
      <c r="H75" s="7">
        <v>31659714</v>
      </c>
      <c r="I75" s="7">
        <v>0</v>
      </c>
      <c r="J75" s="7">
        <f>Table5[[#This Row],[126125123440]]-Table5[[#This Row],[Column9]]</f>
        <v>31659714</v>
      </c>
    </row>
    <row r="76" spans="1:10" ht="23.1" customHeight="1" x14ac:dyDescent="0.6">
      <c r="A76" s="6" t="s">
        <v>54</v>
      </c>
      <c r="B76" s="7" t="s">
        <v>409</v>
      </c>
      <c r="C76" s="7" t="s">
        <v>19</v>
      </c>
      <c r="D76" s="7">
        <v>10</v>
      </c>
      <c r="E76" s="7">
        <v>33804697</v>
      </c>
      <c r="F76" s="7">
        <v>0</v>
      </c>
      <c r="G76" s="7">
        <f>Table5[[#This Row],[59624695013]]-Table5[[#This Row],[0]]</f>
        <v>33804697</v>
      </c>
      <c r="H76" s="7">
        <v>55531033</v>
      </c>
      <c r="I76" s="7">
        <v>0</v>
      </c>
      <c r="J76" s="7">
        <f>Table5[[#This Row],[126125123440]]-Table5[[#This Row],[Column9]]</f>
        <v>55531033</v>
      </c>
    </row>
    <row r="77" spans="1:10" ht="23.1" customHeight="1" x14ac:dyDescent="0.6">
      <c r="A77" s="6" t="s">
        <v>52</v>
      </c>
      <c r="B77" s="7" t="s">
        <v>409</v>
      </c>
      <c r="C77" s="7" t="s">
        <v>19</v>
      </c>
      <c r="D77" s="7">
        <v>10</v>
      </c>
      <c r="E77" s="7">
        <v>5120671</v>
      </c>
      <c r="F77" s="7">
        <v>0</v>
      </c>
      <c r="G77" s="7">
        <f>Table5[[#This Row],[59624695013]]-Table5[[#This Row],[0]]</f>
        <v>5120671</v>
      </c>
      <c r="H77" s="7">
        <v>5517931</v>
      </c>
      <c r="I77" s="7">
        <v>0</v>
      </c>
      <c r="J77" s="7">
        <f>Table5[[#This Row],[126125123440]]-Table5[[#This Row],[Column9]]</f>
        <v>5517931</v>
      </c>
    </row>
    <row r="78" spans="1:10" ht="23.1" customHeight="1" x14ac:dyDescent="0.6">
      <c r="A78" s="6" t="s">
        <v>50</v>
      </c>
      <c r="B78" s="7" t="s">
        <v>377</v>
      </c>
      <c r="C78" s="7" t="s">
        <v>19</v>
      </c>
      <c r="D78" s="7">
        <v>10</v>
      </c>
      <c r="E78" s="7">
        <v>28402262</v>
      </c>
      <c r="F78" s="7">
        <v>0</v>
      </c>
      <c r="G78" s="7">
        <f>Table5[[#This Row],[59624695013]]-Table5[[#This Row],[0]]</f>
        <v>28402262</v>
      </c>
      <c r="H78" s="7">
        <v>54799065</v>
      </c>
      <c r="I78" s="7">
        <v>0</v>
      </c>
      <c r="J78" s="7">
        <f>Table5[[#This Row],[126125123440]]-Table5[[#This Row],[Column9]]</f>
        <v>54799065</v>
      </c>
    </row>
    <row r="79" spans="1:10" ht="23.1" customHeight="1" x14ac:dyDescent="0.6">
      <c r="A79" s="6" t="s">
        <v>48</v>
      </c>
      <c r="B79" s="7" t="s">
        <v>377</v>
      </c>
      <c r="C79" s="7" t="s">
        <v>19</v>
      </c>
      <c r="D79" s="7">
        <v>10</v>
      </c>
      <c r="E79" s="7">
        <v>29053512</v>
      </c>
      <c r="F79" s="7">
        <v>0</v>
      </c>
      <c r="G79" s="7">
        <f>Table5[[#This Row],[59624695013]]-Table5[[#This Row],[0]]</f>
        <v>29053512</v>
      </c>
      <c r="H79" s="7">
        <v>44124721</v>
      </c>
      <c r="I79" s="7">
        <v>0</v>
      </c>
      <c r="J79" s="7">
        <f>Table5[[#This Row],[126125123440]]-Table5[[#This Row],[Column9]]</f>
        <v>44124721</v>
      </c>
    </row>
    <row r="80" spans="1:10" ht="23.1" customHeight="1" x14ac:dyDescent="0.6">
      <c r="A80" s="6" t="s">
        <v>46</v>
      </c>
      <c r="B80" s="7" t="s">
        <v>409</v>
      </c>
      <c r="C80" s="7" t="s">
        <v>19</v>
      </c>
      <c r="D80" s="7">
        <v>10</v>
      </c>
      <c r="E80" s="7">
        <v>424657</v>
      </c>
      <c r="F80" s="7">
        <v>0</v>
      </c>
      <c r="G80" s="7">
        <f>Table5[[#This Row],[59624695013]]-Table5[[#This Row],[0]]</f>
        <v>424657</v>
      </c>
      <c r="H80" s="7">
        <v>821917</v>
      </c>
      <c r="I80" s="7">
        <v>0</v>
      </c>
      <c r="J80" s="7">
        <f>Table5[[#This Row],[126125123440]]-Table5[[#This Row],[Column9]]</f>
        <v>821917</v>
      </c>
    </row>
    <row r="81" spans="1:10" ht="23.1" customHeight="1" x14ac:dyDescent="0.6">
      <c r="A81" s="6" t="s">
        <v>44</v>
      </c>
      <c r="B81" s="7" t="s">
        <v>409</v>
      </c>
      <c r="C81" s="7" t="s">
        <v>19</v>
      </c>
      <c r="D81" s="7">
        <v>10</v>
      </c>
      <c r="E81" s="7">
        <v>424657</v>
      </c>
      <c r="F81" s="7">
        <v>0</v>
      </c>
      <c r="G81" s="7">
        <f>Table5[[#This Row],[59624695013]]-Table5[[#This Row],[0]]</f>
        <v>424657</v>
      </c>
      <c r="H81" s="7">
        <v>821917</v>
      </c>
      <c r="I81" s="7">
        <v>0</v>
      </c>
      <c r="J81" s="7">
        <f>Table5[[#This Row],[126125123440]]-Table5[[#This Row],[Column9]]</f>
        <v>821917</v>
      </c>
    </row>
    <row r="82" spans="1:10" ht="23.1" customHeight="1" x14ac:dyDescent="0.6">
      <c r="A82" s="6" t="s">
        <v>42</v>
      </c>
      <c r="B82" s="7" t="s">
        <v>381</v>
      </c>
      <c r="C82" s="7" t="s">
        <v>19</v>
      </c>
      <c r="D82" s="7">
        <v>10</v>
      </c>
      <c r="E82" s="7">
        <v>2080236</v>
      </c>
      <c r="F82" s="7">
        <v>0</v>
      </c>
      <c r="G82" s="7">
        <f>Table5[[#This Row],[59624695013]]-Table5[[#This Row],[0]]</f>
        <v>2080236</v>
      </c>
      <c r="H82" s="7">
        <v>2118711</v>
      </c>
      <c r="I82" s="7">
        <v>0</v>
      </c>
      <c r="J82" s="7">
        <f>Table5[[#This Row],[126125123440]]-Table5[[#This Row],[Column9]]</f>
        <v>2118711</v>
      </c>
    </row>
    <row r="83" spans="1:10" ht="23.1" customHeight="1" x14ac:dyDescent="0.6">
      <c r="A83" s="6" t="s">
        <v>40</v>
      </c>
      <c r="B83" s="7" t="s">
        <v>374</v>
      </c>
      <c r="C83" s="7" t="s">
        <v>19</v>
      </c>
      <c r="D83" s="7">
        <v>10</v>
      </c>
      <c r="E83" s="7">
        <v>277098</v>
      </c>
      <c r="F83" s="7">
        <v>0</v>
      </c>
      <c r="G83" s="7">
        <f>Table5[[#This Row],[59624695013]]-Table5[[#This Row],[0]]</f>
        <v>277098</v>
      </c>
      <c r="H83" s="7">
        <v>534205</v>
      </c>
      <c r="I83" s="7">
        <v>0</v>
      </c>
      <c r="J83" s="7">
        <f>Table5[[#This Row],[126125123440]]-Table5[[#This Row],[Column9]]</f>
        <v>534205</v>
      </c>
    </row>
    <row r="84" spans="1:10" ht="23.1" customHeight="1" x14ac:dyDescent="0.6">
      <c r="A84" s="6" t="s">
        <v>38</v>
      </c>
      <c r="B84" s="7" t="s">
        <v>5</v>
      </c>
      <c r="C84" s="7" t="s">
        <v>19</v>
      </c>
      <c r="D84" s="7">
        <v>10</v>
      </c>
      <c r="E84" s="7">
        <v>13357645</v>
      </c>
      <c r="F84" s="7">
        <v>0</v>
      </c>
      <c r="G84" s="7">
        <f>Table5[[#This Row],[59624695013]]-Table5[[#This Row],[0]]</f>
        <v>13357645</v>
      </c>
      <c r="H84" s="7">
        <v>25853506</v>
      </c>
      <c r="I84" s="7">
        <v>0</v>
      </c>
      <c r="J84" s="7">
        <f>Table5[[#This Row],[126125123440]]-Table5[[#This Row],[Column9]]</f>
        <v>25853506</v>
      </c>
    </row>
    <row r="85" spans="1:10" ht="23.1" customHeight="1" x14ac:dyDescent="0.6">
      <c r="A85" s="6" t="s">
        <v>36</v>
      </c>
      <c r="B85" s="7" t="s">
        <v>381</v>
      </c>
      <c r="C85" s="7" t="s">
        <v>19</v>
      </c>
      <c r="D85" s="7">
        <v>10</v>
      </c>
      <c r="E85" s="7">
        <v>104109859</v>
      </c>
      <c r="F85" s="7">
        <v>0</v>
      </c>
      <c r="G85" s="7">
        <f>Table5[[#This Row],[59624695013]]-Table5[[#This Row],[0]]</f>
        <v>104109859</v>
      </c>
      <c r="H85" s="7">
        <v>122744292</v>
      </c>
      <c r="I85" s="7">
        <v>0</v>
      </c>
      <c r="J85" s="7">
        <f>Table5[[#This Row],[126125123440]]-Table5[[#This Row],[Column9]]</f>
        <v>122744292</v>
      </c>
    </row>
    <row r="86" spans="1:10" ht="23.1" customHeight="1" x14ac:dyDescent="0.6">
      <c r="A86" s="6" t="s">
        <v>34</v>
      </c>
      <c r="B86" s="7" t="s">
        <v>409</v>
      </c>
      <c r="C86" s="7" t="s">
        <v>19</v>
      </c>
      <c r="D86" s="7">
        <v>10</v>
      </c>
      <c r="E86" s="7">
        <v>4779014</v>
      </c>
      <c r="F86" s="7">
        <v>0</v>
      </c>
      <c r="G86" s="7">
        <f>Table5[[#This Row],[59624695013]]-Table5[[#This Row],[0]]</f>
        <v>4779014</v>
      </c>
      <c r="H86" s="7">
        <v>6797101</v>
      </c>
      <c r="I86" s="7">
        <v>0</v>
      </c>
      <c r="J86" s="7">
        <f>Table5[[#This Row],[126125123440]]-Table5[[#This Row],[Column9]]</f>
        <v>6797101</v>
      </c>
    </row>
    <row r="87" spans="1:10" ht="23.1" customHeight="1" x14ac:dyDescent="0.6">
      <c r="A87" s="6" t="s">
        <v>32</v>
      </c>
      <c r="B87" s="7" t="s">
        <v>409</v>
      </c>
      <c r="C87" s="7" t="s">
        <v>19</v>
      </c>
      <c r="D87" s="7">
        <v>10</v>
      </c>
      <c r="E87" s="7">
        <v>524148</v>
      </c>
      <c r="F87" s="7">
        <v>0</v>
      </c>
      <c r="G87" s="7">
        <f>Table5[[#This Row],[59624695013]]-Table5[[#This Row],[0]]</f>
        <v>524148</v>
      </c>
      <c r="H87" s="7">
        <v>921408</v>
      </c>
      <c r="I87" s="7">
        <v>0</v>
      </c>
      <c r="J87" s="7">
        <f>Table5[[#This Row],[126125123440]]-Table5[[#This Row],[Column9]]</f>
        <v>921408</v>
      </c>
    </row>
    <row r="88" spans="1:10" ht="23.1" customHeight="1" x14ac:dyDescent="0.6">
      <c r="A88" s="6" t="s">
        <v>30</v>
      </c>
      <c r="B88" s="7" t="s">
        <v>409</v>
      </c>
      <c r="C88" s="7" t="s">
        <v>19</v>
      </c>
      <c r="D88" s="7">
        <v>10</v>
      </c>
      <c r="E88" s="7">
        <v>5574379</v>
      </c>
      <c r="F88" s="7">
        <v>0</v>
      </c>
      <c r="G88" s="7">
        <f>Table5[[#This Row],[59624695013]]-Table5[[#This Row],[0]]</f>
        <v>5574379</v>
      </c>
      <c r="H88" s="7">
        <v>22259008</v>
      </c>
      <c r="I88" s="7">
        <v>0</v>
      </c>
      <c r="J88" s="7">
        <f>Table5[[#This Row],[126125123440]]-Table5[[#This Row],[Column9]]</f>
        <v>22259008</v>
      </c>
    </row>
    <row r="89" spans="1:10" ht="23.1" customHeight="1" x14ac:dyDescent="0.6">
      <c r="A89" s="6" t="s">
        <v>28</v>
      </c>
      <c r="B89" s="7" t="s">
        <v>409</v>
      </c>
      <c r="C89" s="7" t="s">
        <v>19</v>
      </c>
      <c r="D89" s="7">
        <v>10</v>
      </c>
      <c r="E89" s="7">
        <v>4552061</v>
      </c>
      <c r="F89" s="7">
        <v>0</v>
      </c>
      <c r="G89" s="7">
        <f>Table5[[#This Row],[59624695013]]-Table5[[#This Row],[0]]</f>
        <v>4552061</v>
      </c>
      <c r="H89" s="7">
        <v>9809057</v>
      </c>
      <c r="I89" s="7">
        <v>0</v>
      </c>
      <c r="J89" s="7">
        <f>Table5[[#This Row],[126125123440]]-Table5[[#This Row],[Column9]]</f>
        <v>9809057</v>
      </c>
    </row>
    <row r="90" spans="1:10" ht="23.1" customHeight="1" x14ac:dyDescent="0.6">
      <c r="A90" s="6" t="s">
        <v>26</v>
      </c>
      <c r="B90" s="7" t="s">
        <v>377</v>
      </c>
      <c r="C90" s="7" t="s">
        <v>19</v>
      </c>
      <c r="D90" s="7">
        <v>10</v>
      </c>
      <c r="E90" s="7">
        <v>57103588</v>
      </c>
      <c r="F90" s="7">
        <v>0</v>
      </c>
      <c r="G90" s="7">
        <f>Table5[[#This Row],[59624695013]]-Table5[[#This Row],[0]]</f>
        <v>57103588</v>
      </c>
      <c r="H90" s="7">
        <v>67467375</v>
      </c>
      <c r="I90" s="7">
        <v>0</v>
      </c>
      <c r="J90" s="7">
        <f>Table5[[#This Row],[126125123440]]-Table5[[#This Row],[Column9]]</f>
        <v>67467375</v>
      </c>
    </row>
    <row r="91" spans="1:10" ht="23.1" customHeight="1" x14ac:dyDescent="0.6">
      <c r="A91" s="6" t="s">
        <v>24</v>
      </c>
      <c r="B91" s="7" t="s">
        <v>377</v>
      </c>
      <c r="C91" s="7" t="s">
        <v>19</v>
      </c>
      <c r="D91" s="7">
        <v>10</v>
      </c>
      <c r="E91" s="7">
        <v>424657</v>
      </c>
      <c r="F91" s="7">
        <v>0</v>
      </c>
      <c r="G91" s="7">
        <f>Table5[[#This Row],[59624695013]]-Table5[[#This Row],[0]]</f>
        <v>424657</v>
      </c>
      <c r="H91" s="7">
        <v>5823553</v>
      </c>
      <c r="I91" s="7">
        <v>0</v>
      </c>
      <c r="J91" s="7">
        <f>Table5[[#This Row],[126125123440]]-Table5[[#This Row],[Column9]]</f>
        <v>5823553</v>
      </c>
    </row>
    <row r="92" spans="1:10" ht="23.1" customHeight="1" x14ac:dyDescent="0.6">
      <c r="A92" s="6" t="s">
        <v>22</v>
      </c>
      <c r="B92" s="7" t="s">
        <v>377</v>
      </c>
      <c r="C92" s="7" t="s">
        <v>19</v>
      </c>
      <c r="D92" s="7">
        <v>10</v>
      </c>
      <c r="E92" s="7">
        <v>2858720</v>
      </c>
      <c r="F92" s="7">
        <v>0</v>
      </c>
      <c r="G92" s="7">
        <f>Table5[[#This Row],[59624695013]]-Table5[[#This Row],[0]]</f>
        <v>2858720</v>
      </c>
      <c r="H92" s="7">
        <v>30860185</v>
      </c>
      <c r="I92" s="7">
        <v>0</v>
      </c>
      <c r="J92" s="7">
        <f>Table5[[#This Row],[126125123440]]-Table5[[#This Row],[Column9]]</f>
        <v>30860185</v>
      </c>
    </row>
    <row r="93" spans="1:10" ht="23.1" customHeight="1" x14ac:dyDescent="0.6">
      <c r="A93" s="6" t="s">
        <v>20</v>
      </c>
      <c r="B93" s="7" t="s">
        <v>411</v>
      </c>
      <c r="C93" s="7" t="s">
        <v>19</v>
      </c>
      <c r="D93" s="7">
        <v>10</v>
      </c>
      <c r="E93" s="7">
        <v>3414944</v>
      </c>
      <c r="F93" s="7">
        <v>0</v>
      </c>
      <c r="G93" s="7">
        <f>Table5[[#This Row],[59624695013]]-Table5[[#This Row],[0]]</f>
        <v>3414944</v>
      </c>
      <c r="H93" s="7">
        <v>11582596</v>
      </c>
      <c r="I93" s="7">
        <v>0</v>
      </c>
      <c r="J93" s="7">
        <f>Table5[[#This Row],[126125123440]]-Table5[[#This Row],[Column9]]</f>
        <v>11582596</v>
      </c>
    </row>
    <row r="94" spans="1:10" ht="23.1" customHeight="1" x14ac:dyDescent="0.6">
      <c r="A94" s="6" t="s">
        <v>16</v>
      </c>
      <c r="B94" s="7" t="s">
        <v>410</v>
      </c>
      <c r="C94" s="7" t="s">
        <v>19</v>
      </c>
      <c r="D94" s="7">
        <v>10</v>
      </c>
      <c r="E94" s="7">
        <v>12727542</v>
      </c>
      <c r="F94" s="7">
        <v>0</v>
      </c>
      <c r="G94" s="7">
        <f>Table5[[#This Row],[59624695013]]-Table5[[#This Row],[0]]</f>
        <v>12727542</v>
      </c>
      <c r="H94" s="7">
        <v>22386417</v>
      </c>
      <c r="I94" s="7">
        <v>0</v>
      </c>
      <c r="J94" s="7">
        <f>Table5[[#This Row],[126125123440]]-Table5[[#This Row],[Column9]]</f>
        <v>22386417</v>
      </c>
    </row>
    <row r="95" spans="1:10" ht="23.1" customHeight="1" thickBot="1" x14ac:dyDescent="0.65">
      <c r="A95" s="6" t="s">
        <v>178</v>
      </c>
      <c r="B95" s="7"/>
      <c r="C95" s="7"/>
      <c r="D95" s="7"/>
      <c r="E95" s="40">
        <f t="shared" ref="E95:J95" si="0">SUM(E7:E94)</f>
        <v>100299136518</v>
      </c>
      <c r="F95" s="40">
        <f t="shared" si="0"/>
        <v>0</v>
      </c>
      <c r="G95" s="40">
        <f t="shared" si="0"/>
        <v>100299136518</v>
      </c>
      <c r="H95" s="40">
        <f t="shared" si="0"/>
        <v>179931318836</v>
      </c>
      <c r="I95" s="40">
        <f t="shared" si="0"/>
        <v>0</v>
      </c>
      <c r="J95" s="40">
        <f t="shared" si="0"/>
        <v>179931318836</v>
      </c>
    </row>
    <row r="96" spans="1:10" ht="23.1" customHeight="1" thickTop="1" x14ac:dyDescent="0.6">
      <c r="A96" s="6" t="s">
        <v>179</v>
      </c>
      <c r="B96" s="7"/>
      <c r="C96" s="7"/>
      <c r="D96" s="7"/>
      <c r="E96" s="7"/>
      <c r="F96" s="7"/>
      <c r="G96" s="7"/>
      <c r="H96" s="7"/>
      <c r="I96" s="7"/>
      <c r="J96" s="7"/>
    </row>
    <row r="97" spans="7:10" x14ac:dyDescent="0.6">
      <c r="G97" s="49"/>
      <c r="J97" s="49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79" orientation="landscape" r:id="rId1"/>
  <headerFooter differentOddEven="1" differentFirst="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rightToLeft="1" view="pageBreakPreview" zoomScale="60" zoomScaleNormal="100" workbookViewId="0">
      <selection activeCell="K88" sqref="K88:K101"/>
    </sheetView>
  </sheetViews>
  <sheetFormatPr defaultRowHeight="22.5" x14ac:dyDescent="0.6"/>
  <cols>
    <col min="1" max="1" width="31" style="8" bestFit="1" customWidth="1"/>
    <col min="2" max="2" width="12.42578125" style="8" bestFit="1" customWidth="1"/>
    <col min="3" max="3" width="17.7109375" style="8" bestFit="1" customWidth="1"/>
    <col min="4" max="4" width="16" style="49" customWidth="1"/>
    <col min="5" max="5" width="18.85546875" style="8" hidden="1" customWidth="1"/>
    <col min="6" max="6" width="24.140625" style="8" bestFit="1" customWidth="1"/>
    <col min="7" max="7" width="12.140625" style="8" bestFit="1" customWidth="1"/>
    <col min="8" max="8" width="18" style="8" bestFit="1" customWidth="1"/>
    <col min="9" max="9" width="17.5703125" style="49" customWidth="1"/>
    <col min="10" max="10" width="18.85546875" style="8" hidden="1" customWidth="1"/>
    <col min="11" max="11" width="24.140625" style="8" bestFit="1" customWidth="1"/>
    <col min="12" max="12" width="9.140625" style="1" customWidth="1"/>
    <col min="13" max="16384" width="9.140625" style="1"/>
  </cols>
  <sheetData>
    <row r="1" spans="1:11" ht="25.5" x14ac:dyDescent="0.6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25.5" x14ac:dyDescent="0.6">
      <c r="A2" s="79" t="s">
        <v>316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25.5" x14ac:dyDescent="0.6">
      <c r="A3" s="79" t="s">
        <v>317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25.5" x14ac:dyDescent="0.6">
      <c r="A4" s="80" t="s">
        <v>347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1" ht="16.5" customHeight="1" x14ac:dyDescent="0.6">
      <c r="B5" s="83" t="s">
        <v>408</v>
      </c>
      <c r="C5" s="83"/>
      <c r="D5" s="83"/>
      <c r="E5" s="83"/>
      <c r="F5" s="83"/>
      <c r="G5" s="83" t="s">
        <v>319</v>
      </c>
      <c r="H5" s="83"/>
      <c r="I5" s="83"/>
      <c r="J5" s="83"/>
      <c r="K5" s="83"/>
    </row>
    <row r="6" spans="1:11" x14ac:dyDescent="0.6">
      <c r="A6" s="18" t="s">
        <v>348</v>
      </c>
      <c r="B6" s="19" t="s">
        <v>185</v>
      </c>
      <c r="C6" s="19" t="s">
        <v>349</v>
      </c>
      <c r="D6" s="48" t="str">
        <f>E6</f>
        <v>ارزش دفتری</v>
      </c>
      <c r="E6" s="19" t="s">
        <v>350</v>
      </c>
      <c r="F6" s="20" t="s">
        <v>351</v>
      </c>
      <c r="G6" s="19" t="s">
        <v>185</v>
      </c>
      <c r="H6" s="19" t="s">
        <v>187</v>
      </c>
      <c r="I6" s="48" t="str">
        <f>J6</f>
        <v>ارزش دفتری</v>
      </c>
      <c r="J6" s="19" t="s">
        <v>350</v>
      </c>
      <c r="K6" s="20" t="s">
        <v>351</v>
      </c>
    </row>
    <row r="7" spans="1:11" ht="23.1" customHeight="1" x14ac:dyDescent="0.6">
      <c r="A7" s="6" t="s">
        <v>195</v>
      </c>
      <c r="B7" s="7">
        <v>1264045</v>
      </c>
      <c r="C7" s="7">
        <v>147908075376</v>
      </c>
      <c r="D7" s="7">
        <f>-1*Table6[[#This Row],[-120169268207.0000]]</f>
        <v>120169268207</v>
      </c>
      <c r="E7" s="7">
        <v>-120169268207</v>
      </c>
      <c r="F7" s="7">
        <f>Table6[[#This Row],[147908075376]]-Table6[[#This Row],[Column1]]</f>
        <v>27738807169</v>
      </c>
      <c r="G7" s="7">
        <v>1380156</v>
      </c>
      <c r="H7" s="7">
        <v>159506435274</v>
      </c>
      <c r="I7" s="7">
        <f>-1*Table6[[#This Row],[-131191689116.0000]]</f>
        <v>131191689116</v>
      </c>
      <c r="J7" s="7">
        <v>-131191689116</v>
      </c>
      <c r="K7" s="7">
        <f>Table6[[#This Row],[159506435274]]-Table6[[#This Row],[Column2]]</f>
        <v>28314746158</v>
      </c>
    </row>
    <row r="8" spans="1:11" ht="23.1" customHeight="1" x14ac:dyDescent="0.6">
      <c r="A8" s="6" t="s">
        <v>204</v>
      </c>
      <c r="B8" s="7">
        <v>527461</v>
      </c>
      <c r="C8" s="7">
        <v>16817446772</v>
      </c>
      <c r="D8" s="7">
        <f>-1*Table6[[#This Row],[-120169268207.0000]]</f>
        <v>12773417788</v>
      </c>
      <c r="E8" s="7">
        <v>-12773417788</v>
      </c>
      <c r="F8" s="7">
        <f>Table6[[#This Row],[147908075376]]-Table6[[#This Row],[Column1]]</f>
        <v>4044028984</v>
      </c>
      <c r="G8" s="7">
        <v>1239170</v>
      </c>
      <c r="H8" s="7">
        <v>35749550808</v>
      </c>
      <c r="I8" s="7">
        <f>-1*Table6[[#This Row],[-131191689116.0000]]</f>
        <v>29933429848</v>
      </c>
      <c r="J8" s="7">
        <v>-29933429848</v>
      </c>
      <c r="K8" s="7">
        <f>Table6[[#This Row],[159506435274]]-Table6[[#This Row],[Column2]]</f>
        <v>5816120960</v>
      </c>
    </row>
    <row r="9" spans="1:11" ht="23.1" customHeight="1" x14ac:dyDescent="0.6">
      <c r="A9" s="6" t="s">
        <v>246</v>
      </c>
      <c r="B9" s="7">
        <v>608724</v>
      </c>
      <c r="C9" s="7">
        <v>101104509496</v>
      </c>
      <c r="D9" s="7">
        <f>-1*Table6[[#This Row],[-120169268207.0000]]</f>
        <v>88656228462</v>
      </c>
      <c r="E9" s="7">
        <v>-88656228462</v>
      </c>
      <c r="F9" s="7">
        <f>Table6[[#This Row],[147908075376]]-Table6[[#This Row],[Column1]]</f>
        <v>12448281034</v>
      </c>
      <c r="G9" s="7">
        <v>944372</v>
      </c>
      <c r="H9" s="7">
        <v>151911847740</v>
      </c>
      <c r="I9" s="7">
        <f>-1*Table6[[#This Row],[-131191689116.0000]]</f>
        <v>137380514496</v>
      </c>
      <c r="J9" s="7">
        <v>-137380514496</v>
      </c>
      <c r="K9" s="7">
        <f>Table6[[#This Row],[159506435274]]-Table6[[#This Row],[Column2]]</f>
        <v>14531333244</v>
      </c>
    </row>
    <row r="10" spans="1:11" ht="23.1" customHeight="1" x14ac:dyDescent="0.6">
      <c r="A10" s="6" t="s">
        <v>234</v>
      </c>
      <c r="B10" s="7">
        <v>21405804</v>
      </c>
      <c r="C10" s="7">
        <v>52934379283</v>
      </c>
      <c r="D10" s="7">
        <f>-1*Table6[[#This Row],[-120169268207.0000]]</f>
        <v>36484762723</v>
      </c>
      <c r="E10" s="7">
        <v>-36484762723</v>
      </c>
      <c r="F10" s="7">
        <f>Table6[[#This Row],[147908075376]]-Table6[[#This Row],[Column1]]</f>
        <v>16449616560</v>
      </c>
      <c r="G10" s="7">
        <v>44462788</v>
      </c>
      <c r="H10" s="7">
        <v>113509596109</v>
      </c>
      <c r="I10" s="7">
        <f>-1*Table6[[#This Row],[-131191689116.0000]]</f>
        <v>90583283431</v>
      </c>
      <c r="J10" s="7">
        <v>-90583283431</v>
      </c>
      <c r="K10" s="7">
        <f>Table6[[#This Row],[159506435274]]-Table6[[#This Row],[Column2]]</f>
        <v>22926312678</v>
      </c>
    </row>
    <row r="11" spans="1:11" ht="23.1" customHeight="1" x14ac:dyDescent="0.6">
      <c r="A11" s="6" t="s">
        <v>211</v>
      </c>
      <c r="B11" s="7">
        <v>160766</v>
      </c>
      <c r="C11" s="7">
        <v>16231484226</v>
      </c>
      <c r="D11" s="7">
        <f>-1*Table6[[#This Row],[-120169268207.0000]]</f>
        <v>13876458290</v>
      </c>
      <c r="E11" s="7">
        <v>-13876458290</v>
      </c>
      <c r="F11" s="7">
        <f>Table6[[#This Row],[147908075376]]-Table6[[#This Row],[Column1]]</f>
        <v>2355025936</v>
      </c>
      <c r="G11" s="7">
        <v>2543076</v>
      </c>
      <c r="H11" s="7">
        <v>235876435790</v>
      </c>
      <c r="I11" s="7">
        <f>-1*Table6[[#This Row],[-131191689116.0000]]</f>
        <v>214700283902</v>
      </c>
      <c r="J11" s="7">
        <v>-214700283902</v>
      </c>
      <c r="K11" s="7">
        <f>Table6[[#This Row],[159506435274]]-Table6[[#This Row],[Column2]]</f>
        <v>21176151888</v>
      </c>
    </row>
    <row r="12" spans="1:11" ht="23.1" customHeight="1" x14ac:dyDescent="0.6">
      <c r="A12" s="6" t="s">
        <v>249</v>
      </c>
      <c r="B12" s="7">
        <v>59444</v>
      </c>
      <c r="C12" s="7">
        <v>7845995824</v>
      </c>
      <c r="D12" s="7">
        <f>-1*Table6[[#This Row],[-120169268207.0000]]</f>
        <v>6482952841</v>
      </c>
      <c r="E12" s="7">
        <v>-6482952841</v>
      </c>
      <c r="F12" s="7">
        <f>Table6[[#This Row],[147908075376]]-Table6[[#This Row],[Column1]]</f>
        <v>1363042983</v>
      </c>
      <c r="G12" s="7">
        <v>514217</v>
      </c>
      <c r="H12" s="7">
        <v>63168123006</v>
      </c>
      <c r="I12" s="7">
        <f>-1*Table6[[#This Row],[-131191689116.0000]]</f>
        <v>56026109395</v>
      </c>
      <c r="J12" s="7">
        <v>-56026109395</v>
      </c>
      <c r="K12" s="7">
        <f>Table6[[#This Row],[159506435274]]-Table6[[#This Row],[Column2]]</f>
        <v>7142013611</v>
      </c>
    </row>
    <row r="13" spans="1:11" ht="23.1" customHeight="1" x14ac:dyDescent="0.6">
      <c r="A13" s="6" t="s">
        <v>267</v>
      </c>
      <c r="B13" s="7">
        <v>28189</v>
      </c>
      <c r="C13" s="7">
        <v>2758229595</v>
      </c>
      <c r="D13" s="7">
        <f>-1*Table6[[#This Row],[-120169268207.0000]]</f>
        <v>2264505100</v>
      </c>
      <c r="E13" s="7">
        <v>-2264505100</v>
      </c>
      <c r="F13" s="7">
        <f>Table6[[#This Row],[147908075376]]-Table6[[#This Row],[Column1]]</f>
        <v>493724495</v>
      </c>
      <c r="G13" s="7">
        <v>2450628</v>
      </c>
      <c r="H13" s="7">
        <v>228658848505</v>
      </c>
      <c r="I13" s="7">
        <f>-1*Table6[[#This Row],[-131191689116.0000]]</f>
        <v>196351630249</v>
      </c>
      <c r="J13" s="7">
        <v>-196351630249</v>
      </c>
      <c r="K13" s="7">
        <f>Table6[[#This Row],[159506435274]]-Table6[[#This Row],[Column2]]</f>
        <v>32307218256</v>
      </c>
    </row>
    <row r="14" spans="1:11" ht="23.1" customHeight="1" x14ac:dyDescent="0.6">
      <c r="A14" s="6" t="s">
        <v>271</v>
      </c>
      <c r="B14" s="7">
        <v>2675525</v>
      </c>
      <c r="C14" s="7">
        <v>18113151414</v>
      </c>
      <c r="D14" s="7">
        <f>-1*Table6[[#This Row],[-120169268207.0000]]</f>
        <v>15084621036</v>
      </c>
      <c r="E14" s="7">
        <v>-15084621036</v>
      </c>
      <c r="F14" s="7">
        <f>Table6[[#This Row],[147908075376]]-Table6[[#This Row],[Column1]]</f>
        <v>3028530378</v>
      </c>
      <c r="G14" s="7">
        <v>5926496</v>
      </c>
      <c r="H14" s="7">
        <v>37956187782</v>
      </c>
      <c r="I14" s="7">
        <f>-1*Table6[[#This Row],[-131191689116.0000]]</f>
        <v>33193262137</v>
      </c>
      <c r="J14" s="7">
        <v>-33193262137</v>
      </c>
      <c r="K14" s="7">
        <f>Table6[[#This Row],[159506435274]]-Table6[[#This Row],[Column2]]</f>
        <v>4762925645</v>
      </c>
    </row>
    <row r="15" spans="1:11" ht="23.1" customHeight="1" x14ac:dyDescent="0.6">
      <c r="A15" s="6" t="s">
        <v>266</v>
      </c>
      <c r="B15" s="7">
        <v>308907</v>
      </c>
      <c r="C15" s="7">
        <v>3834096353</v>
      </c>
      <c r="D15" s="7">
        <f>-1*Table6[[#This Row],[-120169268207.0000]]</f>
        <v>3359676021</v>
      </c>
      <c r="E15" s="7">
        <v>-3359676021</v>
      </c>
      <c r="F15" s="7">
        <f>Table6[[#This Row],[147908075376]]-Table6[[#This Row],[Column1]]</f>
        <v>474420332</v>
      </c>
      <c r="G15" s="7">
        <v>7758633</v>
      </c>
      <c r="H15" s="7">
        <v>92054659231</v>
      </c>
      <c r="I15" s="7">
        <f>-1*Table6[[#This Row],[-131191689116.0000]]</f>
        <v>84353668038</v>
      </c>
      <c r="J15" s="7">
        <v>-84353668038</v>
      </c>
      <c r="K15" s="7">
        <f>Table6[[#This Row],[159506435274]]-Table6[[#This Row],[Column2]]</f>
        <v>7700991193</v>
      </c>
    </row>
    <row r="16" spans="1:11" ht="23.1" customHeight="1" x14ac:dyDescent="0.6">
      <c r="A16" s="6" t="s">
        <v>268</v>
      </c>
      <c r="B16" s="7">
        <v>499206</v>
      </c>
      <c r="C16" s="7">
        <v>17787247784</v>
      </c>
      <c r="D16" s="7">
        <f>-1*Table6[[#This Row],[-120169268207.0000]]</f>
        <v>13618149774</v>
      </c>
      <c r="E16" s="7">
        <v>-13618149774</v>
      </c>
      <c r="F16" s="7">
        <f>Table6[[#This Row],[147908075376]]-Table6[[#This Row],[Column1]]</f>
        <v>4169098010</v>
      </c>
      <c r="G16" s="7">
        <v>1530467</v>
      </c>
      <c r="H16" s="7">
        <v>49629610437</v>
      </c>
      <c r="I16" s="7">
        <f>-1*Table6[[#This Row],[-131191689116.0000]]</f>
        <v>41443988789</v>
      </c>
      <c r="J16" s="7">
        <v>-41443988789</v>
      </c>
      <c r="K16" s="7">
        <f>Table6[[#This Row],[159506435274]]-Table6[[#This Row],[Column2]]</f>
        <v>8185621648</v>
      </c>
    </row>
    <row r="17" spans="1:11" ht="23.1" customHeight="1" x14ac:dyDescent="0.6">
      <c r="A17" s="6" t="s">
        <v>241</v>
      </c>
      <c r="B17" s="7">
        <v>1948531</v>
      </c>
      <c r="C17" s="7">
        <v>24261692001</v>
      </c>
      <c r="D17" s="7">
        <f>-1*Table6[[#This Row],[-120169268207.0000]]</f>
        <v>19746264366</v>
      </c>
      <c r="E17" s="7">
        <v>-19746264366</v>
      </c>
      <c r="F17" s="7">
        <f>Table6[[#This Row],[147908075376]]-Table6[[#This Row],[Column1]]</f>
        <v>4515427635</v>
      </c>
      <c r="G17" s="7">
        <v>3951262</v>
      </c>
      <c r="H17" s="7">
        <v>45199863207</v>
      </c>
      <c r="I17" s="7">
        <f>-1*Table6[[#This Row],[-131191689116.0000]]</f>
        <v>37354505923</v>
      </c>
      <c r="J17" s="7">
        <v>-37354505923</v>
      </c>
      <c r="K17" s="7">
        <f>Table6[[#This Row],[159506435274]]-Table6[[#This Row],[Column2]]</f>
        <v>7845357284</v>
      </c>
    </row>
    <row r="18" spans="1:11" ht="23.1" customHeight="1" x14ac:dyDescent="0.6">
      <c r="A18" s="6" t="s">
        <v>226</v>
      </c>
      <c r="B18" s="7">
        <v>1970179</v>
      </c>
      <c r="C18" s="7">
        <v>17279149234</v>
      </c>
      <c r="D18" s="7">
        <f>-1*Table6[[#This Row],[-120169268207.0000]]</f>
        <v>14157175108</v>
      </c>
      <c r="E18" s="7">
        <v>-14157175108</v>
      </c>
      <c r="F18" s="7">
        <f>Table6[[#This Row],[147908075376]]-Table6[[#This Row],[Column1]]</f>
        <v>3121974126</v>
      </c>
      <c r="G18" s="7">
        <v>3973751</v>
      </c>
      <c r="H18" s="7">
        <v>32874736016</v>
      </c>
      <c r="I18" s="7">
        <f>-1*Table6[[#This Row],[-131191689116.0000]]</f>
        <v>28444908956</v>
      </c>
      <c r="J18" s="7">
        <v>-28444908956</v>
      </c>
      <c r="K18" s="7">
        <f>Table6[[#This Row],[159506435274]]-Table6[[#This Row],[Column2]]</f>
        <v>4429827060</v>
      </c>
    </row>
    <row r="19" spans="1:11" ht="23.1" customHeight="1" x14ac:dyDescent="0.6">
      <c r="A19" s="6" t="s">
        <v>231</v>
      </c>
      <c r="B19" s="7">
        <v>855205</v>
      </c>
      <c r="C19" s="7">
        <v>29781920196</v>
      </c>
      <c r="D19" s="7">
        <f>-1*Table6[[#This Row],[-120169268207.0000]]</f>
        <v>22337743875</v>
      </c>
      <c r="E19" s="7">
        <v>-22337743875</v>
      </c>
      <c r="F19" s="7">
        <f>Table6[[#This Row],[147908075376]]-Table6[[#This Row],[Column1]]</f>
        <v>7444176321</v>
      </c>
      <c r="G19" s="7">
        <v>1537566</v>
      </c>
      <c r="H19" s="7">
        <v>50086124783</v>
      </c>
      <c r="I19" s="7">
        <f>-1*Table6[[#This Row],[-131191689116.0000]]</f>
        <v>39939703611</v>
      </c>
      <c r="J19" s="7">
        <v>-39939703611</v>
      </c>
      <c r="K19" s="7">
        <f>Table6[[#This Row],[159506435274]]-Table6[[#This Row],[Column2]]</f>
        <v>10146421172</v>
      </c>
    </row>
    <row r="20" spans="1:11" ht="23.1" customHeight="1" x14ac:dyDescent="0.6">
      <c r="A20" s="6" t="s">
        <v>242</v>
      </c>
      <c r="B20" s="7">
        <v>220096</v>
      </c>
      <c r="C20" s="7">
        <v>8986410280</v>
      </c>
      <c r="D20" s="7">
        <f>-1*Table6[[#This Row],[-120169268207.0000]]</f>
        <v>7389974582</v>
      </c>
      <c r="E20" s="7">
        <v>-7389974582</v>
      </c>
      <c r="F20" s="7">
        <f>Table6[[#This Row],[147908075376]]-Table6[[#This Row],[Column1]]</f>
        <v>1596435698</v>
      </c>
      <c r="G20" s="7">
        <v>942923</v>
      </c>
      <c r="H20" s="7">
        <v>35726455888</v>
      </c>
      <c r="I20" s="7">
        <f>-1*Table6[[#This Row],[-131191689116.0000]]</f>
        <v>31034577041</v>
      </c>
      <c r="J20" s="7">
        <v>-31034577041</v>
      </c>
      <c r="K20" s="7">
        <f>Table6[[#This Row],[159506435274]]-Table6[[#This Row],[Column2]]</f>
        <v>4691878847</v>
      </c>
    </row>
    <row r="21" spans="1:11" ht="23.1" customHeight="1" x14ac:dyDescent="0.6">
      <c r="A21" s="6" t="s">
        <v>217</v>
      </c>
      <c r="B21" s="7">
        <v>1183995</v>
      </c>
      <c r="C21" s="7">
        <v>20311003153</v>
      </c>
      <c r="D21" s="7">
        <f>-1*Table6[[#This Row],[-120169268207.0000]]</f>
        <v>15261283943</v>
      </c>
      <c r="E21" s="7">
        <v>-15261283943</v>
      </c>
      <c r="F21" s="7">
        <f>Table6[[#This Row],[147908075376]]-Table6[[#This Row],[Column1]]</f>
        <v>5049719210</v>
      </c>
      <c r="G21" s="7">
        <v>2692387</v>
      </c>
      <c r="H21" s="7">
        <v>42520597682</v>
      </c>
      <c r="I21" s="7">
        <f>-1*Table6[[#This Row],[-131191689116.0000]]</f>
        <v>34651273272</v>
      </c>
      <c r="J21" s="7">
        <v>-34651273272</v>
      </c>
      <c r="K21" s="7">
        <f>Table6[[#This Row],[159506435274]]-Table6[[#This Row],[Column2]]</f>
        <v>7869324410</v>
      </c>
    </row>
    <row r="22" spans="1:11" ht="23.1" customHeight="1" x14ac:dyDescent="0.6">
      <c r="A22" s="6" t="s">
        <v>222</v>
      </c>
      <c r="B22" s="7">
        <v>1214186</v>
      </c>
      <c r="C22" s="7">
        <v>22238276023</v>
      </c>
      <c r="D22" s="7">
        <f>-1*Table6[[#This Row],[-120169268207.0000]]</f>
        <v>17714466163</v>
      </c>
      <c r="E22" s="7">
        <v>-17714466163</v>
      </c>
      <c r="F22" s="7">
        <f>Table6[[#This Row],[147908075376]]-Table6[[#This Row],[Column1]]</f>
        <v>4523809860</v>
      </c>
      <c r="G22" s="7">
        <v>3938181</v>
      </c>
      <c r="H22" s="7">
        <v>65666803910</v>
      </c>
      <c r="I22" s="7">
        <f>-1*Table6[[#This Row],[-131191689116.0000]]</f>
        <v>55420211541</v>
      </c>
      <c r="J22" s="7">
        <v>-55420211541</v>
      </c>
      <c r="K22" s="7">
        <f>Table6[[#This Row],[159506435274]]-Table6[[#This Row],[Column2]]</f>
        <v>10246592369</v>
      </c>
    </row>
    <row r="23" spans="1:11" ht="23.1" customHeight="1" x14ac:dyDescent="0.6">
      <c r="A23" s="6" t="s">
        <v>229</v>
      </c>
      <c r="B23" s="7">
        <v>578822</v>
      </c>
      <c r="C23" s="7">
        <v>16176793458</v>
      </c>
      <c r="D23" s="7">
        <f>-1*Table6[[#This Row],[-120169268207.0000]]</f>
        <v>12792378046</v>
      </c>
      <c r="E23" s="7">
        <v>-12792378046</v>
      </c>
      <c r="F23" s="7">
        <f>Table6[[#This Row],[147908075376]]-Table6[[#This Row],[Column1]]</f>
        <v>3384415412</v>
      </c>
      <c r="G23" s="7">
        <v>2040937</v>
      </c>
      <c r="H23" s="7">
        <v>51568765093</v>
      </c>
      <c r="I23" s="7">
        <f>-1*Table6[[#This Row],[-131191689116.0000]]</f>
        <v>44556429183</v>
      </c>
      <c r="J23" s="7">
        <v>-44556429183</v>
      </c>
      <c r="K23" s="7">
        <f>Table6[[#This Row],[159506435274]]-Table6[[#This Row],[Column2]]</f>
        <v>7012335910</v>
      </c>
    </row>
    <row r="24" spans="1:11" ht="23.1" customHeight="1" x14ac:dyDescent="0.6">
      <c r="A24" s="6" t="s">
        <v>252</v>
      </c>
      <c r="B24" s="7">
        <v>368000</v>
      </c>
      <c r="C24" s="7">
        <v>16835096338</v>
      </c>
      <c r="D24" s="7">
        <f>-1*Table6[[#This Row],[-120169268207.0000]]</f>
        <v>14305857261</v>
      </c>
      <c r="E24" s="7">
        <v>-14305857261</v>
      </c>
      <c r="F24" s="7">
        <f>Table6[[#This Row],[147908075376]]-Table6[[#This Row],[Column1]]</f>
        <v>2529239077</v>
      </c>
      <c r="G24" s="7">
        <v>778135</v>
      </c>
      <c r="H24" s="7">
        <v>33859331858</v>
      </c>
      <c r="I24" s="7">
        <f>-1*Table6[[#This Row],[-131191689116.0000]]</f>
        <v>30229219175</v>
      </c>
      <c r="J24" s="7">
        <v>-30229219175</v>
      </c>
      <c r="K24" s="7">
        <f>Table6[[#This Row],[159506435274]]-Table6[[#This Row],[Column2]]</f>
        <v>3630112683</v>
      </c>
    </row>
    <row r="25" spans="1:11" ht="23.1" customHeight="1" x14ac:dyDescent="0.6">
      <c r="A25" s="6" t="s">
        <v>196</v>
      </c>
      <c r="B25" s="7">
        <v>1265624</v>
      </c>
      <c r="C25" s="7">
        <v>22271647079</v>
      </c>
      <c r="D25" s="7">
        <f>-1*Table6[[#This Row],[-120169268207.0000]]</f>
        <v>19865930629</v>
      </c>
      <c r="E25" s="7">
        <v>-19865930629</v>
      </c>
      <c r="F25" s="7">
        <f>Table6[[#This Row],[147908075376]]-Table6[[#This Row],[Column1]]</f>
        <v>2405716450</v>
      </c>
      <c r="G25" s="7">
        <v>2257870</v>
      </c>
      <c r="H25" s="7">
        <v>37787770030</v>
      </c>
      <c r="I25" s="7">
        <f>-1*Table6[[#This Row],[-131191689116.0000]]</f>
        <v>34329247452</v>
      </c>
      <c r="J25" s="7">
        <v>-34329247452</v>
      </c>
      <c r="K25" s="7">
        <f>Table6[[#This Row],[159506435274]]-Table6[[#This Row],[Column2]]</f>
        <v>3458522578</v>
      </c>
    </row>
    <row r="26" spans="1:11" ht="23.1" customHeight="1" x14ac:dyDescent="0.6">
      <c r="A26" s="6" t="s">
        <v>205</v>
      </c>
      <c r="B26" s="7">
        <v>5211054</v>
      </c>
      <c r="C26" s="7">
        <v>28012891292</v>
      </c>
      <c r="D26" s="7">
        <f>-1*Table6[[#This Row],[-120169268207.0000]]</f>
        <v>20926688569</v>
      </c>
      <c r="E26" s="7">
        <v>-20926688569</v>
      </c>
      <c r="F26" s="7">
        <f>Table6[[#This Row],[147908075376]]-Table6[[#This Row],[Column1]]</f>
        <v>7086202723</v>
      </c>
      <c r="G26" s="7">
        <v>11855477</v>
      </c>
      <c r="H26" s="7">
        <v>58538898014</v>
      </c>
      <c r="I26" s="7">
        <f>-1*Table6[[#This Row],[-131191689116.0000]]</f>
        <v>47017342926</v>
      </c>
      <c r="J26" s="7">
        <v>-47017342926</v>
      </c>
      <c r="K26" s="7">
        <f>Table6[[#This Row],[159506435274]]-Table6[[#This Row],[Column2]]</f>
        <v>11521555088</v>
      </c>
    </row>
    <row r="27" spans="1:11" ht="23.1" customHeight="1" x14ac:dyDescent="0.6">
      <c r="A27" s="6" t="s">
        <v>228</v>
      </c>
      <c r="B27" s="7">
        <v>927239</v>
      </c>
      <c r="C27" s="7">
        <v>13151719863</v>
      </c>
      <c r="D27" s="7">
        <f>-1*Table6[[#This Row],[-120169268207.0000]]</f>
        <v>10479283270</v>
      </c>
      <c r="E27" s="7">
        <v>-10479283270</v>
      </c>
      <c r="F27" s="7">
        <f>Table6[[#This Row],[147908075376]]-Table6[[#This Row],[Column1]]</f>
        <v>2672436593</v>
      </c>
      <c r="G27" s="7">
        <v>1832291</v>
      </c>
      <c r="H27" s="7">
        <v>24762147449</v>
      </c>
      <c r="I27" s="7">
        <f>-1*Table6[[#This Row],[-131191689116.0000]]</f>
        <v>20634979668</v>
      </c>
      <c r="J27" s="7">
        <v>-20634979668</v>
      </c>
      <c r="K27" s="7">
        <f>Table6[[#This Row],[159506435274]]-Table6[[#This Row],[Column2]]</f>
        <v>4127167781</v>
      </c>
    </row>
    <row r="28" spans="1:11" ht="23.1" customHeight="1" x14ac:dyDescent="0.6">
      <c r="A28" s="6" t="s">
        <v>238</v>
      </c>
      <c r="B28" s="7">
        <v>488765</v>
      </c>
      <c r="C28" s="7">
        <v>16276978479</v>
      </c>
      <c r="D28" s="7">
        <f>-1*Table6[[#This Row],[-120169268207.0000]]</f>
        <v>13688983775</v>
      </c>
      <c r="E28" s="7">
        <v>-13688983775</v>
      </c>
      <c r="F28" s="7">
        <f>Table6[[#This Row],[147908075376]]-Table6[[#This Row],[Column1]]</f>
        <v>2587994704</v>
      </c>
      <c r="G28" s="7">
        <v>941678</v>
      </c>
      <c r="H28" s="7">
        <v>29721872006</v>
      </c>
      <c r="I28" s="7">
        <f>-1*Table6[[#This Row],[-131191689116.0000]]</f>
        <v>26370169085</v>
      </c>
      <c r="J28" s="7">
        <v>-26370169085</v>
      </c>
      <c r="K28" s="7">
        <f>Table6[[#This Row],[159506435274]]-Table6[[#This Row],[Column2]]</f>
        <v>3351702921</v>
      </c>
    </row>
    <row r="29" spans="1:11" ht="23.1" customHeight="1" x14ac:dyDescent="0.6">
      <c r="A29" s="6" t="s">
        <v>220</v>
      </c>
      <c r="B29" s="7">
        <v>660190</v>
      </c>
      <c r="C29" s="7">
        <v>20425641799</v>
      </c>
      <c r="D29" s="7">
        <f>-1*Table6[[#This Row],[-120169268207.0000]]</f>
        <v>16138288734</v>
      </c>
      <c r="E29" s="7">
        <v>-16138288734</v>
      </c>
      <c r="F29" s="7">
        <f>Table6[[#This Row],[147908075376]]-Table6[[#This Row],[Column1]]</f>
        <v>4287353065</v>
      </c>
      <c r="G29" s="7">
        <v>970792</v>
      </c>
      <c r="H29" s="7">
        <v>28507513104</v>
      </c>
      <c r="I29" s="7">
        <f>-1*Table6[[#This Row],[-131191689116.0000]]</f>
        <v>23700575264</v>
      </c>
      <c r="J29" s="7">
        <v>-23700575264</v>
      </c>
      <c r="K29" s="7">
        <f>Table6[[#This Row],[159506435274]]-Table6[[#This Row],[Column2]]</f>
        <v>4806937840</v>
      </c>
    </row>
    <row r="30" spans="1:11" ht="23.1" customHeight="1" x14ac:dyDescent="0.6">
      <c r="A30" s="6" t="s">
        <v>219</v>
      </c>
      <c r="B30" s="7">
        <v>1318066</v>
      </c>
      <c r="C30" s="7">
        <v>40532489429</v>
      </c>
      <c r="D30" s="7">
        <f>-1*Table6[[#This Row],[-120169268207.0000]]</f>
        <v>27555310662</v>
      </c>
      <c r="E30" s="7">
        <v>-27555310662</v>
      </c>
      <c r="F30" s="7">
        <f>Table6[[#This Row],[147908075376]]-Table6[[#This Row],[Column1]]</f>
        <v>12977178767</v>
      </c>
      <c r="G30" s="7">
        <v>2426835</v>
      </c>
      <c r="H30" s="7">
        <v>66665079830</v>
      </c>
      <c r="I30" s="7">
        <f>-1*Table6[[#This Row],[-131191689116.0000]]</f>
        <v>50183309374</v>
      </c>
      <c r="J30" s="7">
        <v>-50183309374</v>
      </c>
      <c r="K30" s="7">
        <f>Table6[[#This Row],[159506435274]]-Table6[[#This Row],[Column2]]</f>
        <v>16481770456</v>
      </c>
    </row>
    <row r="31" spans="1:11" ht="23.1" customHeight="1" x14ac:dyDescent="0.6">
      <c r="A31" s="6" t="s">
        <v>251</v>
      </c>
      <c r="B31" s="7">
        <v>1104030</v>
      </c>
      <c r="C31" s="7">
        <v>15160028817</v>
      </c>
      <c r="D31" s="7">
        <f>-1*Table6[[#This Row],[-120169268207.0000]]</f>
        <v>12536295621</v>
      </c>
      <c r="E31" s="7">
        <v>-12536295621</v>
      </c>
      <c r="F31" s="7">
        <f>Table6[[#This Row],[147908075376]]-Table6[[#This Row],[Column1]]</f>
        <v>2623733196</v>
      </c>
      <c r="G31" s="7">
        <v>4419120</v>
      </c>
      <c r="H31" s="7">
        <v>58195865719</v>
      </c>
      <c r="I31" s="7">
        <f>-1*Table6[[#This Row],[-131191689116.0000]]</f>
        <v>49959330259</v>
      </c>
      <c r="J31" s="7">
        <v>-49959330259</v>
      </c>
      <c r="K31" s="7">
        <f>Table6[[#This Row],[159506435274]]-Table6[[#This Row],[Column2]]</f>
        <v>8236535460</v>
      </c>
    </row>
    <row r="32" spans="1:11" ht="23.1" customHeight="1" x14ac:dyDescent="0.6">
      <c r="A32" s="6" t="s">
        <v>230</v>
      </c>
      <c r="B32" s="7">
        <v>10918108</v>
      </c>
      <c r="C32" s="7">
        <v>140175282439</v>
      </c>
      <c r="D32" s="7">
        <f>-1*Table6[[#This Row],[-120169268207.0000]]</f>
        <v>98150776569</v>
      </c>
      <c r="E32" s="7">
        <v>-98150776569</v>
      </c>
      <c r="F32" s="7">
        <f>Table6[[#This Row],[147908075376]]-Table6[[#This Row],[Column1]]</f>
        <v>42024505870</v>
      </c>
      <c r="G32" s="7">
        <v>15974580</v>
      </c>
      <c r="H32" s="7">
        <v>190478226945</v>
      </c>
      <c r="I32" s="7">
        <f>-1*Table6[[#This Row],[-131191689116.0000]]</f>
        <v>142826490256</v>
      </c>
      <c r="J32" s="7">
        <v>-142826490256</v>
      </c>
      <c r="K32" s="7">
        <f>Table6[[#This Row],[159506435274]]-Table6[[#This Row],[Column2]]</f>
        <v>47651736689</v>
      </c>
    </row>
    <row r="33" spans="1:11" ht="23.1" customHeight="1" x14ac:dyDescent="0.6">
      <c r="A33" s="6" t="s">
        <v>223</v>
      </c>
      <c r="B33" s="7">
        <v>1468394</v>
      </c>
      <c r="C33" s="7">
        <v>30180540359</v>
      </c>
      <c r="D33" s="7">
        <f>-1*Table6[[#This Row],[-120169268207.0000]]</f>
        <v>23354496175</v>
      </c>
      <c r="E33" s="7">
        <v>-23354496175</v>
      </c>
      <c r="F33" s="7">
        <f>Table6[[#This Row],[147908075376]]-Table6[[#This Row],[Column1]]</f>
        <v>6826044184</v>
      </c>
      <c r="G33" s="7">
        <v>9033295</v>
      </c>
      <c r="H33" s="7">
        <v>173342764977</v>
      </c>
      <c r="I33" s="7">
        <f>-1*Table6[[#This Row],[-131191689116.0000]]</f>
        <v>144300141088</v>
      </c>
      <c r="J33" s="7">
        <v>-144300141088</v>
      </c>
      <c r="K33" s="7">
        <f>Table6[[#This Row],[159506435274]]-Table6[[#This Row],[Column2]]</f>
        <v>29042623889</v>
      </c>
    </row>
    <row r="34" spans="1:11" ht="23.1" customHeight="1" x14ac:dyDescent="0.6">
      <c r="A34" s="6" t="s">
        <v>257</v>
      </c>
      <c r="B34" s="7">
        <v>4929057</v>
      </c>
      <c r="C34" s="7">
        <v>57594737532</v>
      </c>
      <c r="D34" s="7">
        <f>-1*Table6[[#This Row],[-120169268207.0000]]</f>
        <v>43421081698</v>
      </c>
      <c r="E34" s="7">
        <v>-43421081698</v>
      </c>
      <c r="F34" s="7">
        <f>Table6[[#This Row],[147908075376]]-Table6[[#This Row],[Column1]]</f>
        <v>14173655834</v>
      </c>
      <c r="G34" s="7">
        <v>9422631</v>
      </c>
      <c r="H34" s="7">
        <v>101197433034</v>
      </c>
      <c r="I34" s="7">
        <f>-1*Table6[[#This Row],[-131191689116.0000]]</f>
        <v>82773379054</v>
      </c>
      <c r="J34" s="7">
        <v>-82773379054</v>
      </c>
      <c r="K34" s="7">
        <f>Table6[[#This Row],[159506435274]]-Table6[[#This Row],[Column2]]</f>
        <v>18424053980</v>
      </c>
    </row>
    <row r="35" spans="1:11" ht="23.1" customHeight="1" x14ac:dyDescent="0.6">
      <c r="A35" s="6" t="s">
        <v>247</v>
      </c>
      <c r="B35" s="7">
        <v>367158776</v>
      </c>
      <c r="C35" s="7">
        <f>377591212529+940013</f>
        <v>377592152542</v>
      </c>
      <c r="D35" s="7">
        <f>-1*Table6[[#This Row],[-120169268207.0000]]</f>
        <v>349000467736</v>
      </c>
      <c r="E35" s="7">
        <v>-349000467736</v>
      </c>
      <c r="F35" s="7">
        <f>Table6[[#This Row],[147908075376]]-Table6[[#This Row],[Column1]]</f>
        <v>28591684806</v>
      </c>
      <c r="G35" s="7">
        <v>1101579158</v>
      </c>
      <c r="H35" s="7">
        <f>1126226897409+1880026</f>
        <v>1126228777435</v>
      </c>
      <c r="I35" s="7">
        <f>-1*Table6[[#This Row],[-131191689116.0000]]</f>
        <v>1046523515186</v>
      </c>
      <c r="J35" s="7">
        <v>-1046523515186</v>
      </c>
      <c r="K35" s="7">
        <f>Table6[[#This Row],[159506435274]]-Table6[[#This Row],[Column2]]</f>
        <v>79705262249</v>
      </c>
    </row>
    <row r="36" spans="1:11" ht="23.1" customHeight="1" x14ac:dyDescent="0.6">
      <c r="A36" s="6" t="s">
        <v>235</v>
      </c>
      <c r="B36" s="7">
        <v>1017111</v>
      </c>
      <c r="C36" s="7">
        <v>22787882286</v>
      </c>
      <c r="D36" s="7">
        <f>-1*Table6[[#This Row],[-120169268207.0000]]</f>
        <v>17414480424</v>
      </c>
      <c r="E36" s="7">
        <v>-17414480424</v>
      </c>
      <c r="F36" s="7">
        <f>Table6[[#This Row],[147908075376]]-Table6[[#This Row],[Column1]]</f>
        <v>5373401862</v>
      </c>
      <c r="G36" s="7">
        <v>1764922</v>
      </c>
      <c r="H36" s="7">
        <v>36560836765</v>
      </c>
      <c r="I36" s="7">
        <f>-1*Table6[[#This Row],[-131191689116.0000]]</f>
        <v>30215046855</v>
      </c>
      <c r="J36" s="7">
        <v>-30215046855</v>
      </c>
      <c r="K36" s="7">
        <f>Table6[[#This Row],[159506435274]]-Table6[[#This Row],[Column2]]</f>
        <v>6345789910</v>
      </c>
    </row>
    <row r="37" spans="1:11" ht="23.1" customHeight="1" x14ac:dyDescent="0.6">
      <c r="A37" s="6" t="s">
        <v>245</v>
      </c>
      <c r="B37" s="7">
        <v>12778027</v>
      </c>
      <c r="C37" s="7">
        <v>145806581111</v>
      </c>
      <c r="D37" s="7">
        <f>-1*Table6[[#This Row],[-120169268207.0000]]</f>
        <v>113315697807</v>
      </c>
      <c r="E37" s="7">
        <v>-113315697807</v>
      </c>
      <c r="F37" s="7">
        <f>Table6[[#This Row],[147908075376]]-Table6[[#This Row],[Column1]]</f>
        <v>32490883304</v>
      </c>
      <c r="G37" s="7">
        <v>23862630</v>
      </c>
      <c r="H37" s="7">
        <v>257874686685</v>
      </c>
      <c r="I37" s="7">
        <f>-1*Table6[[#This Row],[-131191689116.0000]]</f>
        <v>211508825809</v>
      </c>
      <c r="J37" s="7">
        <v>-211508825809</v>
      </c>
      <c r="K37" s="7">
        <f>Table6[[#This Row],[159506435274]]-Table6[[#This Row],[Column2]]</f>
        <v>46365860876</v>
      </c>
    </row>
    <row r="38" spans="1:11" ht="23.1" customHeight="1" x14ac:dyDescent="0.6">
      <c r="A38" s="6" t="s">
        <v>216</v>
      </c>
      <c r="B38" s="7">
        <v>26002802</v>
      </c>
      <c r="C38" s="7">
        <v>127187748463</v>
      </c>
      <c r="D38" s="7">
        <f>-1*Table6[[#This Row],[-120169268207.0000]]</f>
        <v>81390772147</v>
      </c>
      <c r="E38" s="7">
        <v>-81390772147</v>
      </c>
      <c r="F38" s="7">
        <f>Table6[[#This Row],[147908075376]]-Table6[[#This Row],[Column1]]</f>
        <v>45796976316</v>
      </c>
      <c r="G38" s="7">
        <v>45981169</v>
      </c>
      <c r="H38" s="7">
        <v>217587012502</v>
      </c>
      <c r="I38" s="7">
        <f>-1*Table6[[#This Row],[-131191689116.0000]]</f>
        <v>146446031114</v>
      </c>
      <c r="J38" s="7">
        <v>-146446031114</v>
      </c>
      <c r="K38" s="7">
        <f>Table6[[#This Row],[159506435274]]-Table6[[#This Row],[Column2]]</f>
        <v>71140981388</v>
      </c>
    </row>
    <row r="39" spans="1:11" ht="23.1" customHeight="1" x14ac:dyDescent="0.6">
      <c r="A39" s="6" t="s">
        <v>215</v>
      </c>
      <c r="B39" s="7">
        <v>4929835</v>
      </c>
      <c r="C39" s="7">
        <v>53434627976</v>
      </c>
      <c r="D39" s="7">
        <f>-1*Table6[[#This Row],[-120169268207.0000]]</f>
        <v>42440375253</v>
      </c>
      <c r="E39" s="7">
        <v>-42440375253</v>
      </c>
      <c r="F39" s="7">
        <f>Table6[[#This Row],[147908075376]]-Table6[[#This Row],[Column1]]</f>
        <v>10994252723</v>
      </c>
      <c r="G39" s="7">
        <v>9311917</v>
      </c>
      <c r="H39" s="7">
        <v>95097560932</v>
      </c>
      <c r="I39" s="7">
        <f>-1*Table6[[#This Row],[-131191689116.0000]]</f>
        <v>80144211296</v>
      </c>
      <c r="J39" s="7">
        <v>-80144211296</v>
      </c>
      <c r="K39" s="7">
        <f>Table6[[#This Row],[159506435274]]-Table6[[#This Row],[Column2]]</f>
        <v>14953349636</v>
      </c>
    </row>
    <row r="40" spans="1:11" ht="23.1" customHeight="1" x14ac:dyDescent="0.6">
      <c r="A40" s="6" t="s">
        <v>213</v>
      </c>
      <c r="B40" s="7">
        <v>32445929</v>
      </c>
      <c r="C40" s="7">
        <f>547375628168</f>
        <v>547375628168</v>
      </c>
      <c r="D40" s="7">
        <f>-1*Table6[[#This Row],[-120169268207.0000]]</f>
        <v>424820287010</v>
      </c>
      <c r="E40" s="7">
        <v>-424820287010</v>
      </c>
      <c r="F40" s="7">
        <f>Table6[[#This Row],[147908075376]]-Table6[[#This Row],[Column1]]</f>
        <v>122555341158</v>
      </c>
      <c r="G40" s="7">
        <v>41323575</v>
      </c>
      <c r="H40" s="7">
        <f>673518511779</f>
        <v>673518511779</v>
      </c>
      <c r="I40" s="7">
        <f>-1*Table6[[#This Row],[-131191689116.0000]]</f>
        <v>541030586582</v>
      </c>
      <c r="J40" s="7">
        <v>-541030586582</v>
      </c>
      <c r="K40" s="7">
        <f>Table6[[#This Row],[159506435274]]-Table6[[#This Row],[Column2]]</f>
        <v>132487925197</v>
      </c>
    </row>
    <row r="41" spans="1:11" ht="23.1" customHeight="1" x14ac:dyDescent="0.6">
      <c r="A41" s="6" t="s">
        <v>256</v>
      </c>
      <c r="B41" s="7">
        <v>15652173</v>
      </c>
      <c r="C41" s="7">
        <v>44418994406</v>
      </c>
      <c r="D41" s="7">
        <f>-1*Table6[[#This Row],[-120169268207.0000]]</f>
        <v>34090700159</v>
      </c>
      <c r="E41" s="7">
        <v>-34090700159</v>
      </c>
      <c r="F41" s="7">
        <f>Table6[[#This Row],[147908075376]]-Table6[[#This Row],[Column1]]</f>
        <v>10328294247</v>
      </c>
      <c r="G41" s="7">
        <v>35189910</v>
      </c>
      <c r="H41" s="7">
        <v>91960333603</v>
      </c>
      <c r="I41" s="7">
        <f>-1*Table6[[#This Row],[-131191689116.0000]]</f>
        <v>76593403831</v>
      </c>
      <c r="J41" s="7">
        <v>-76593403831</v>
      </c>
      <c r="K41" s="7">
        <f>Table6[[#This Row],[159506435274]]-Table6[[#This Row],[Column2]]</f>
        <v>15366929772</v>
      </c>
    </row>
    <row r="42" spans="1:11" ht="23.1" customHeight="1" x14ac:dyDescent="0.6">
      <c r="A42" s="6" t="s">
        <v>248</v>
      </c>
      <c r="B42" s="7">
        <v>900000</v>
      </c>
      <c r="C42" s="7">
        <f>11472148866</f>
        <v>11472148866</v>
      </c>
      <c r="D42" s="7">
        <f>-1*Table6[[#This Row],[-120169268207.0000]]</f>
        <v>10975876823</v>
      </c>
      <c r="E42" s="7">
        <v>-10975876823</v>
      </c>
      <c r="F42" s="7">
        <f>Table6[[#This Row],[147908075376]]-Table6[[#This Row],[Column1]]</f>
        <v>496272043</v>
      </c>
      <c r="G42" s="7">
        <v>900000</v>
      </c>
      <c r="H42" s="7">
        <f>11472148866-57869991</f>
        <v>11414278875</v>
      </c>
      <c r="I42" s="7">
        <f>-1*Table6[[#This Row],[-131191689116.0000]]</f>
        <v>10975876823</v>
      </c>
      <c r="J42" s="7">
        <v>-10975876823</v>
      </c>
      <c r="K42" s="7">
        <f>Table6[[#This Row],[159506435274]]-Table6[[#This Row],[Column2]]</f>
        <v>438402052</v>
      </c>
    </row>
    <row r="43" spans="1:11" ht="23.1" customHeight="1" x14ac:dyDescent="0.6">
      <c r="A43" s="6" t="s">
        <v>208</v>
      </c>
      <c r="B43" s="7">
        <v>649729</v>
      </c>
      <c r="C43" s="7">
        <v>20131147712</v>
      </c>
      <c r="D43" s="7">
        <f>-1*Table6[[#This Row],[-120169268207.0000]]</f>
        <v>18150099019</v>
      </c>
      <c r="E43" s="7">
        <v>-18150099019</v>
      </c>
      <c r="F43" s="7">
        <f>Table6[[#This Row],[147908075376]]-Table6[[#This Row],[Column1]]</f>
        <v>1981048693</v>
      </c>
      <c r="G43" s="7">
        <v>2497896</v>
      </c>
      <c r="H43" s="7">
        <v>95984213319</v>
      </c>
      <c r="I43" s="7">
        <f>-1*Table6[[#This Row],[-131191689116.0000]]</f>
        <v>85217900880</v>
      </c>
      <c r="J43" s="7">
        <v>-85217900880</v>
      </c>
      <c r="K43" s="7">
        <f>Table6[[#This Row],[159506435274]]-Table6[[#This Row],[Column2]]</f>
        <v>10766312439</v>
      </c>
    </row>
    <row r="44" spans="1:11" ht="23.1" customHeight="1" x14ac:dyDescent="0.6">
      <c r="A44" s="6" t="s">
        <v>210</v>
      </c>
      <c r="B44" s="7">
        <v>1056180</v>
      </c>
      <c r="C44" s="7">
        <v>46163943755</v>
      </c>
      <c r="D44" s="7">
        <f>-1*Table6[[#This Row],[-120169268207.0000]]</f>
        <v>41185948238</v>
      </c>
      <c r="E44" s="7">
        <v>-41185948238</v>
      </c>
      <c r="F44" s="7">
        <f>Table6[[#This Row],[147908075376]]-Table6[[#This Row],[Column1]]</f>
        <v>4977995517</v>
      </c>
      <c r="G44" s="7">
        <v>1547846</v>
      </c>
      <c r="H44" s="7">
        <v>66872136898</v>
      </c>
      <c r="I44" s="7">
        <f>-1*Table6[[#This Row],[-131191689116.0000]]</f>
        <v>59769714714</v>
      </c>
      <c r="J44" s="7">
        <v>-59769714714</v>
      </c>
      <c r="K44" s="7">
        <f>Table6[[#This Row],[159506435274]]-Table6[[#This Row],[Column2]]</f>
        <v>7102422184</v>
      </c>
    </row>
    <row r="45" spans="1:11" ht="23.1" customHeight="1" x14ac:dyDescent="0.6">
      <c r="A45" s="6" t="s">
        <v>264</v>
      </c>
      <c r="B45" s="7">
        <v>163261</v>
      </c>
      <c r="C45" s="7">
        <v>8696814040</v>
      </c>
      <c r="D45" s="7">
        <f>-1*Table6[[#This Row],[-120169268207.0000]]</f>
        <v>8455149832</v>
      </c>
      <c r="E45" s="7">
        <v>-8455149832</v>
      </c>
      <c r="F45" s="7">
        <f>Table6[[#This Row],[147908075376]]-Table6[[#This Row],[Column1]]</f>
        <v>241664208</v>
      </c>
      <c r="G45" s="7">
        <v>1398497</v>
      </c>
      <c r="H45" s="7">
        <v>66933696404</v>
      </c>
      <c r="I45" s="7">
        <f>-1*Table6[[#This Row],[-131191689116.0000]]</f>
        <v>62453729464</v>
      </c>
      <c r="J45" s="7">
        <v>-62453729464</v>
      </c>
      <c r="K45" s="7">
        <f>Table6[[#This Row],[159506435274]]-Table6[[#This Row],[Column2]]</f>
        <v>4479966940</v>
      </c>
    </row>
    <row r="46" spans="1:11" ht="23.1" customHeight="1" x14ac:dyDescent="0.6">
      <c r="A46" s="6" t="s">
        <v>265</v>
      </c>
      <c r="B46" s="7">
        <v>137400</v>
      </c>
      <c r="C46" s="7">
        <v>9732388160</v>
      </c>
      <c r="D46" s="7">
        <f>-1*Table6[[#This Row],[-120169268207.0000]]</f>
        <v>9725179859</v>
      </c>
      <c r="E46" s="7">
        <v>-9725179859</v>
      </c>
      <c r="F46" s="7">
        <f>Table6[[#This Row],[147908075376]]-Table6[[#This Row],[Column1]]</f>
        <v>7208301</v>
      </c>
      <c r="G46" s="7">
        <v>1365030</v>
      </c>
      <c r="H46" s="7">
        <v>83603402086</v>
      </c>
      <c r="I46" s="7">
        <f>-1*Table6[[#This Row],[-131191689116.0000]]</f>
        <v>75470138347</v>
      </c>
      <c r="J46" s="7">
        <v>-75470138347</v>
      </c>
      <c r="K46" s="7">
        <f>Table6[[#This Row],[159506435274]]-Table6[[#This Row],[Column2]]</f>
        <v>8133263739</v>
      </c>
    </row>
    <row r="47" spans="1:11" ht="23.1" customHeight="1" x14ac:dyDescent="0.6">
      <c r="A47" s="6" t="s">
        <v>233</v>
      </c>
      <c r="B47" s="7">
        <v>1813104</v>
      </c>
      <c r="C47" s="7">
        <v>41500333454</v>
      </c>
      <c r="D47" s="7">
        <f>-1*Table6[[#This Row],[-120169268207.0000]]</f>
        <v>36586003134</v>
      </c>
      <c r="E47" s="7">
        <v>-36586003134</v>
      </c>
      <c r="F47" s="7">
        <f>Table6[[#This Row],[147908075376]]-Table6[[#This Row],[Column1]]</f>
        <v>4914330320</v>
      </c>
      <c r="G47" s="7">
        <v>2813717</v>
      </c>
      <c r="H47" s="7">
        <v>62569735647</v>
      </c>
      <c r="I47" s="7">
        <f>-1*Table6[[#This Row],[-131191689116.0000]]</f>
        <v>56200329416</v>
      </c>
      <c r="J47" s="7">
        <v>-56200329416</v>
      </c>
      <c r="K47" s="7">
        <f>Table6[[#This Row],[159506435274]]-Table6[[#This Row],[Column2]]</f>
        <v>6369406231</v>
      </c>
    </row>
    <row r="48" spans="1:11" ht="23.1" customHeight="1" x14ac:dyDescent="0.6">
      <c r="A48" s="6" t="s">
        <v>270</v>
      </c>
      <c r="B48" s="7">
        <v>495944</v>
      </c>
      <c r="C48" s="7">
        <v>14144522193</v>
      </c>
      <c r="D48" s="7">
        <f>-1*Table6[[#This Row],[-120169268207.0000]]</f>
        <v>12051207125</v>
      </c>
      <c r="E48" s="7">
        <v>-12051207125</v>
      </c>
      <c r="F48" s="7">
        <f>Table6[[#This Row],[147908075376]]-Table6[[#This Row],[Column1]]</f>
        <v>2093315068</v>
      </c>
      <c r="G48" s="7">
        <v>2427213</v>
      </c>
      <c r="H48" s="7">
        <v>66537656746</v>
      </c>
      <c r="I48" s="7">
        <f>-1*Table6[[#This Row],[-131191689116.0000]]</f>
        <v>57647239224</v>
      </c>
      <c r="J48" s="7">
        <v>-57647239224</v>
      </c>
      <c r="K48" s="7">
        <f>Table6[[#This Row],[159506435274]]-Table6[[#This Row],[Column2]]</f>
        <v>8890417522</v>
      </c>
    </row>
    <row r="49" spans="1:11" ht="23.1" customHeight="1" x14ac:dyDescent="0.6">
      <c r="A49" s="6" t="s">
        <v>200</v>
      </c>
      <c r="B49" s="7">
        <v>6617896</v>
      </c>
      <c r="C49" s="7">
        <v>50842452101</v>
      </c>
      <c r="D49" s="7">
        <f>-1*Table6[[#This Row],[-120169268207.0000]]</f>
        <v>38471629269</v>
      </c>
      <c r="E49" s="7">
        <v>-38471629269</v>
      </c>
      <c r="F49" s="7">
        <f>Table6[[#This Row],[147908075376]]-Table6[[#This Row],[Column1]]</f>
        <v>12370822832</v>
      </c>
      <c r="G49" s="7">
        <v>21639869</v>
      </c>
      <c r="H49" s="7">
        <v>149358661553</v>
      </c>
      <c r="I49" s="7">
        <f>-1*Table6[[#This Row],[-131191689116.0000]]</f>
        <v>121661237397</v>
      </c>
      <c r="J49" s="7">
        <v>-121661237397</v>
      </c>
      <c r="K49" s="7">
        <f>Table6[[#This Row],[159506435274]]-Table6[[#This Row],[Column2]]</f>
        <v>27697424156</v>
      </c>
    </row>
    <row r="50" spans="1:11" ht="23.1" customHeight="1" x14ac:dyDescent="0.6">
      <c r="A50" s="6" t="s">
        <v>232</v>
      </c>
      <c r="B50" s="7">
        <v>102117</v>
      </c>
      <c r="C50" s="7">
        <v>5928301333</v>
      </c>
      <c r="D50" s="7">
        <f>-1*Table6[[#This Row],[-120169268207.0000]]</f>
        <v>5120662819</v>
      </c>
      <c r="E50" s="7">
        <v>-5120662819</v>
      </c>
      <c r="F50" s="7">
        <f>Table6[[#This Row],[147908075376]]-Table6[[#This Row],[Column1]]</f>
        <v>807638514</v>
      </c>
      <c r="G50" s="7">
        <v>528591</v>
      </c>
      <c r="H50" s="7">
        <v>29381262537</v>
      </c>
      <c r="I50" s="7">
        <f>-1*Table6[[#This Row],[-131191689116.0000]]</f>
        <v>26450317982</v>
      </c>
      <c r="J50" s="7">
        <v>-26450317982</v>
      </c>
      <c r="K50" s="7">
        <f>Table6[[#This Row],[159506435274]]-Table6[[#This Row],[Column2]]</f>
        <v>2930944555</v>
      </c>
    </row>
    <row r="51" spans="1:11" ht="23.1" customHeight="1" x14ac:dyDescent="0.6">
      <c r="A51" s="6" t="s">
        <v>199</v>
      </c>
      <c r="B51" s="7">
        <v>812470</v>
      </c>
      <c r="C51" s="7">
        <v>28647492683</v>
      </c>
      <c r="D51" s="7">
        <f>-1*Table6[[#This Row],[-120169268207.0000]]</f>
        <v>23503299324</v>
      </c>
      <c r="E51" s="7">
        <v>-23503299324</v>
      </c>
      <c r="F51" s="7">
        <f>Table6[[#This Row],[147908075376]]-Table6[[#This Row],[Column1]]</f>
        <v>5144193359</v>
      </c>
      <c r="G51" s="7">
        <v>1153990</v>
      </c>
      <c r="H51" s="7">
        <v>38752125197</v>
      </c>
      <c r="I51" s="7">
        <f>-1*Table6[[#This Row],[-131191689116.0000]]</f>
        <v>32253200970</v>
      </c>
      <c r="J51" s="7">
        <v>-32253200970</v>
      </c>
      <c r="K51" s="7">
        <f>Table6[[#This Row],[159506435274]]-Table6[[#This Row],[Column2]]</f>
        <v>6498924227</v>
      </c>
    </row>
    <row r="52" spans="1:11" ht="23.1" customHeight="1" x14ac:dyDescent="0.6">
      <c r="A52" s="6" t="s">
        <v>263</v>
      </c>
      <c r="B52" s="7">
        <v>579775</v>
      </c>
      <c r="C52" s="7">
        <v>12840471481</v>
      </c>
      <c r="D52" s="7">
        <f>-1*Table6[[#This Row],[-120169268207.0000]]</f>
        <v>12570110043</v>
      </c>
      <c r="E52" s="7">
        <v>-12570110043</v>
      </c>
      <c r="F52" s="7">
        <f>Table6[[#This Row],[147908075376]]-Table6[[#This Row],[Column1]]</f>
        <v>270361438</v>
      </c>
      <c r="G52" s="7">
        <v>1332620</v>
      </c>
      <c r="H52" s="7">
        <v>30026846852</v>
      </c>
      <c r="I52" s="7">
        <f>-1*Table6[[#This Row],[-131191689116.0000]]</f>
        <v>28783030431</v>
      </c>
      <c r="J52" s="7">
        <v>-28783030431</v>
      </c>
      <c r="K52" s="7">
        <f>Table6[[#This Row],[159506435274]]-Table6[[#This Row],[Column2]]</f>
        <v>1243816421</v>
      </c>
    </row>
    <row r="53" spans="1:11" ht="23.1" customHeight="1" x14ac:dyDescent="0.6">
      <c r="A53" s="6" t="s">
        <v>207</v>
      </c>
      <c r="B53" s="7">
        <v>815845</v>
      </c>
      <c r="C53" s="7">
        <v>15040177096</v>
      </c>
      <c r="D53" s="7">
        <f>-1*Table6[[#This Row],[-120169268207.0000]]</f>
        <v>13328383150</v>
      </c>
      <c r="E53" s="7">
        <v>-13328383150</v>
      </c>
      <c r="F53" s="7">
        <f>Table6[[#This Row],[147908075376]]-Table6[[#This Row],[Column1]]</f>
        <v>1711793946</v>
      </c>
      <c r="G53" s="7">
        <v>4159349</v>
      </c>
      <c r="H53" s="7">
        <v>74297110849</v>
      </c>
      <c r="I53" s="7">
        <f>-1*Table6[[#This Row],[-131191689116.0000]]</f>
        <v>67185201859</v>
      </c>
      <c r="J53" s="7">
        <v>-67185201859</v>
      </c>
      <c r="K53" s="7">
        <f>Table6[[#This Row],[159506435274]]-Table6[[#This Row],[Column2]]</f>
        <v>7111908990</v>
      </c>
    </row>
    <row r="54" spans="1:11" ht="23.1" customHeight="1" x14ac:dyDescent="0.6">
      <c r="A54" s="6" t="s">
        <v>198</v>
      </c>
      <c r="B54" s="7">
        <v>3218760</v>
      </c>
      <c r="C54" s="7">
        <v>66118114890</v>
      </c>
      <c r="D54" s="7">
        <f>-1*Table6[[#This Row],[-120169268207.0000]]</f>
        <v>64876652646</v>
      </c>
      <c r="E54" s="7">
        <v>-64876652646</v>
      </c>
      <c r="F54" s="7">
        <f>Table6[[#This Row],[147908075376]]-Table6[[#This Row],[Column1]]</f>
        <v>1241462244</v>
      </c>
      <c r="G54" s="7">
        <v>5544836</v>
      </c>
      <c r="H54" s="7">
        <v>113851440612</v>
      </c>
      <c r="I54" s="7">
        <f>-1*Table6[[#This Row],[-131191689116.0000]]</f>
        <v>110582700879</v>
      </c>
      <c r="J54" s="7">
        <v>-110582700879</v>
      </c>
      <c r="K54" s="7">
        <f>Table6[[#This Row],[159506435274]]-Table6[[#This Row],[Column2]]</f>
        <v>3268739733</v>
      </c>
    </row>
    <row r="55" spans="1:11" ht="23.1" customHeight="1" x14ac:dyDescent="0.6">
      <c r="A55" s="6" t="s">
        <v>244</v>
      </c>
      <c r="B55" s="7">
        <v>951138</v>
      </c>
      <c r="C55" s="7">
        <v>69912486832</v>
      </c>
      <c r="D55" s="7">
        <f>-1*Table6[[#This Row],[-120169268207.0000]]</f>
        <v>47377573502</v>
      </c>
      <c r="E55" s="7">
        <v>-47377573502</v>
      </c>
      <c r="F55" s="7">
        <f>Table6[[#This Row],[147908075376]]-Table6[[#This Row],[Column1]]</f>
        <v>22534913330</v>
      </c>
      <c r="G55" s="7">
        <v>1960101</v>
      </c>
      <c r="H55" s="7">
        <v>128074914797</v>
      </c>
      <c r="I55" s="7">
        <f>-1*Table6[[#This Row],[-131191689116.0000]]</f>
        <v>97401846575</v>
      </c>
      <c r="J55" s="7">
        <v>-97401846575</v>
      </c>
      <c r="K55" s="7">
        <f>Table6[[#This Row],[159506435274]]-Table6[[#This Row],[Column2]]</f>
        <v>30673068222</v>
      </c>
    </row>
    <row r="56" spans="1:11" ht="23.1" customHeight="1" x14ac:dyDescent="0.6">
      <c r="A56" s="6" t="s">
        <v>243</v>
      </c>
      <c r="B56" s="7">
        <v>917775</v>
      </c>
      <c r="C56" s="7">
        <v>32526522475</v>
      </c>
      <c r="D56" s="7">
        <f>-1*Table6[[#This Row],[-120169268207.0000]]</f>
        <v>25576503929</v>
      </c>
      <c r="E56" s="7">
        <v>-25576503929</v>
      </c>
      <c r="F56" s="7">
        <f>Table6[[#This Row],[147908075376]]-Table6[[#This Row],[Column1]]</f>
        <v>6950018546</v>
      </c>
      <c r="G56" s="7">
        <v>2794303</v>
      </c>
      <c r="H56" s="7">
        <v>91510671698</v>
      </c>
      <c r="I56" s="7">
        <f>-1*Table6[[#This Row],[-131191689116.0000]]</f>
        <v>76579202776</v>
      </c>
      <c r="J56" s="7">
        <v>-76579202776</v>
      </c>
      <c r="K56" s="7">
        <f>Table6[[#This Row],[159506435274]]-Table6[[#This Row],[Column2]]</f>
        <v>14931468922</v>
      </c>
    </row>
    <row r="57" spans="1:11" ht="23.1" customHeight="1" x14ac:dyDescent="0.6">
      <c r="A57" s="6" t="s">
        <v>206</v>
      </c>
      <c r="B57" s="7">
        <v>1955878</v>
      </c>
      <c r="C57" s="7">
        <v>43404933960</v>
      </c>
      <c r="D57" s="7">
        <f>-1*Table6[[#This Row],[-120169268207.0000]]</f>
        <v>34340749592</v>
      </c>
      <c r="E57" s="7">
        <v>-34340749592</v>
      </c>
      <c r="F57" s="7">
        <f>Table6[[#This Row],[147908075376]]-Table6[[#This Row],[Column1]]</f>
        <v>9064184368</v>
      </c>
      <c r="G57" s="7">
        <v>5474913</v>
      </c>
      <c r="H57" s="7">
        <v>110211643241</v>
      </c>
      <c r="I57" s="7">
        <f>-1*Table6[[#This Row],[-131191689116.0000]]</f>
        <v>95367186924</v>
      </c>
      <c r="J57" s="7">
        <v>-95367186924</v>
      </c>
      <c r="K57" s="7">
        <f>Table6[[#This Row],[159506435274]]-Table6[[#This Row],[Column2]]</f>
        <v>14844456317</v>
      </c>
    </row>
    <row r="58" spans="1:11" ht="23.1" customHeight="1" x14ac:dyDescent="0.6">
      <c r="A58" s="6" t="s">
        <v>209</v>
      </c>
      <c r="B58" s="7">
        <v>1249068</v>
      </c>
      <c r="C58" s="7">
        <v>64807848719</v>
      </c>
      <c r="D58" s="7">
        <f>-1*Table6[[#This Row],[-120169268207.0000]]</f>
        <v>61832904329</v>
      </c>
      <c r="E58" s="7">
        <v>-61832904329</v>
      </c>
      <c r="F58" s="7">
        <f>Table6[[#This Row],[147908075376]]-Table6[[#This Row],[Column1]]</f>
        <v>2974944390</v>
      </c>
      <c r="G58" s="7">
        <v>1440669</v>
      </c>
      <c r="H58" s="7">
        <v>74187697372</v>
      </c>
      <c r="I58" s="7">
        <f>-1*Table6[[#This Row],[-131191689116.0000]]</f>
        <v>71333628306</v>
      </c>
      <c r="J58" s="7">
        <v>-71333628306</v>
      </c>
      <c r="K58" s="7">
        <f>Table6[[#This Row],[159506435274]]-Table6[[#This Row],[Column2]]</f>
        <v>2854069066</v>
      </c>
    </row>
    <row r="59" spans="1:11" ht="23.1" customHeight="1" x14ac:dyDescent="0.6">
      <c r="A59" s="6" t="s">
        <v>239</v>
      </c>
      <c r="B59" s="7">
        <v>309654</v>
      </c>
      <c r="C59" s="7">
        <v>32194382503</v>
      </c>
      <c r="D59" s="7">
        <f>-1*Table6[[#This Row],[-120169268207.0000]]</f>
        <v>28788275013</v>
      </c>
      <c r="E59" s="7">
        <v>-28788275013</v>
      </c>
      <c r="F59" s="7">
        <f>Table6[[#This Row],[147908075376]]-Table6[[#This Row],[Column1]]</f>
        <v>3406107490</v>
      </c>
      <c r="G59" s="7">
        <v>478309</v>
      </c>
      <c r="H59" s="7">
        <v>48369585915</v>
      </c>
      <c r="I59" s="7">
        <f>-1*Table6[[#This Row],[-131191689116.0000]]</f>
        <v>44306189337</v>
      </c>
      <c r="J59" s="7">
        <v>-44306189337</v>
      </c>
      <c r="K59" s="7">
        <f>Table6[[#This Row],[159506435274]]-Table6[[#This Row],[Column2]]</f>
        <v>4063396578</v>
      </c>
    </row>
    <row r="60" spans="1:11" ht="23.1" customHeight="1" x14ac:dyDescent="0.6">
      <c r="A60" s="6" t="s">
        <v>260</v>
      </c>
      <c r="B60" s="7">
        <v>1937374</v>
      </c>
      <c r="C60" s="7">
        <v>52134079694</v>
      </c>
      <c r="D60" s="7">
        <f>-1*Table6[[#This Row],[-120169268207.0000]]</f>
        <v>37604278308</v>
      </c>
      <c r="E60" s="7">
        <v>-37604278308</v>
      </c>
      <c r="F60" s="7">
        <f>Table6[[#This Row],[147908075376]]-Table6[[#This Row],[Column1]]</f>
        <v>14529801386</v>
      </c>
      <c r="G60" s="7">
        <v>4034510</v>
      </c>
      <c r="H60" s="7">
        <v>97911861623</v>
      </c>
      <c r="I60" s="7">
        <f>-1*Table6[[#This Row],[-131191689116.0000]]</f>
        <v>77545197281</v>
      </c>
      <c r="J60" s="7">
        <v>-77545197281</v>
      </c>
      <c r="K60" s="7">
        <f>Table6[[#This Row],[159506435274]]-Table6[[#This Row],[Column2]]</f>
        <v>20366664342</v>
      </c>
    </row>
    <row r="61" spans="1:11" ht="23.1" customHeight="1" x14ac:dyDescent="0.6">
      <c r="A61" s="6" t="s">
        <v>202</v>
      </c>
      <c r="B61" s="7">
        <v>1656040</v>
      </c>
      <c r="C61" s="7">
        <v>56868534288</v>
      </c>
      <c r="D61" s="7">
        <f>-1*Table6[[#This Row],[-120169268207.0000]]</f>
        <v>44692813497</v>
      </c>
      <c r="E61" s="7">
        <v>-44692813497</v>
      </c>
      <c r="F61" s="7">
        <f>Table6[[#This Row],[147908075376]]-Table6[[#This Row],[Column1]]</f>
        <v>12175720791</v>
      </c>
      <c r="G61" s="7">
        <v>2707621</v>
      </c>
      <c r="H61" s="7">
        <v>87461596876</v>
      </c>
      <c r="I61" s="7">
        <f>-1*Table6[[#This Row],[-131191689116.0000]]</f>
        <v>72915377318</v>
      </c>
      <c r="J61" s="7">
        <v>-72915377318</v>
      </c>
      <c r="K61" s="7">
        <f>Table6[[#This Row],[159506435274]]-Table6[[#This Row],[Column2]]</f>
        <v>14546219558</v>
      </c>
    </row>
    <row r="62" spans="1:11" ht="23.1" customHeight="1" x14ac:dyDescent="0.6">
      <c r="A62" s="6" t="s">
        <v>214</v>
      </c>
      <c r="B62" s="7">
        <v>2260121</v>
      </c>
      <c r="C62" s="7">
        <v>39287620999</v>
      </c>
      <c r="D62" s="7">
        <f>-1*Table6[[#This Row],[-120169268207.0000]]</f>
        <v>31091717508</v>
      </c>
      <c r="E62" s="7">
        <v>-31091717508</v>
      </c>
      <c r="F62" s="7">
        <f>Table6[[#This Row],[147908075376]]-Table6[[#This Row],[Column1]]</f>
        <v>8195903491</v>
      </c>
      <c r="G62" s="7">
        <v>4875260</v>
      </c>
      <c r="H62" s="7">
        <v>79383627548</v>
      </c>
      <c r="I62" s="7">
        <f>-1*Table6[[#This Row],[-131191689116.0000]]</f>
        <v>66825273313</v>
      </c>
      <c r="J62" s="7">
        <v>-66825273313</v>
      </c>
      <c r="K62" s="7">
        <f>Table6[[#This Row],[159506435274]]-Table6[[#This Row],[Column2]]</f>
        <v>12558354235</v>
      </c>
    </row>
    <row r="63" spans="1:11" ht="23.1" customHeight="1" x14ac:dyDescent="0.6">
      <c r="A63" s="6" t="s">
        <v>255</v>
      </c>
      <c r="B63" s="7">
        <v>5248358</v>
      </c>
      <c r="C63" s="7">
        <v>15712239813</v>
      </c>
      <c r="D63" s="7">
        <f>-1*Table6[[#This Row],[-120169268207.0000]]</f>
        <v>15523421839</v>
      </c>
      <c r="E63" s="7">
        <v>-15523421839</v>
      </c>
      <c r="F63" s="7">
        <f>Table6[[#This Row],[147908075376]]-Table6[[#This Row],[Column1]]</f>
        <v>188817974</v>
      </c>
      <c r="G63" s="7">
        <v>8811072</v>
      </c>
      <c r="H63" s="7">
        <v>27008610232</v>
      </c>
      <c r="I63" s="7">
        <f>-1*Table6[[#This Row],[-131191689116.0000]]</f>
        <v>26572772472</v>
      </c>
      <c r="J63" s="7">
        <v>-26572772472</v>
      </c>
      <c r="K63" s="7">
        <f>Table6[[#This Row],[159506435274]]-Table6[[#This Row],[Column2]]</f>
        <v>435837760</v>
      </c>
    </row>
    <row r="64" spans="1:11" ht="23.1" customHeight="1" x14ac:dyDescent="0.6">
      <c r="A64" s="6" t="s">
        <v>197</v>
      </c>
      <c r="B64" s="7">
        <v>2350195</v>
      </c>
      <c r="C64" s="7">
        <v>24757174388</v>
      </c>
      <c r="D64" s="7">
        <f>-1*Table6[[#This Row],[-120169268207.0000]]</f>
        <v>16170317589</v>
      </c>
      <c r="E64" s="7">
        <v>-16170317589</v>
      </c>
      <c r="F64" s="7">
        <f>Table6[[#This Row],[147908075376]]-Table6[[#This Row],[Column1]]</f>
        <v>8586856799</v>
      </c>
      <c r="G64" s="7">
        <v>6011680</v>
      </c>
      <c r="H64" s="7">
        <v>55224709736</v>
      </c>
      <c r="I64" s="7">
        <f>-1*Table6[[#This Row],[-131191689116.0000]]</f>
        <v>40642540294</v>
      </c>
      <c r="J64" s="7">
        <v>-40642540294</v>
      </c>
      <c r="K64" s="7">
        <f>Table6[[#This Row],[159506435274]]-Table6[[#This Row],[Column2]]</f>
        <v>14582169442</v>
      </c>
    </row>
    <row r="65" spans="1:11" ht="23.1" customHeight="1" x14ac:dyDescent="0.6">
      <c r="A65" s="6" t="s">
        <v>254</v>
      </c>
      <c r="B65" s="7">
        <v>5446097</v>
      </c>
      <c r="C65" s="7">
        <v>16574888680</v>
      </c>
      <c r="D65" s="7">
        <f>-1*Table6[[#This Row],[-120169268207.0000]]</f>
        <v>13395911630</v>
      </c>
      <c r="E65" s="7">
        <v>-13395911630</v>
      </c>
      <c r="F65" s="7">
        <f>Table6[[#This Row],[147908075376]]-Table6[[#This Row],[Column1]]</f>
        <v>3178977050</v>
      </c>
      <c r="G65" s="7">
        <v>20282167</v>
      </c>
      <c r="H65" s="7">
        <v>57093690155</v>
      </c>
      <c r="I65" s="7">
        <f>-1*Table6[[#This Row],[-131191689116.0000]]</f>
        <v>49300710189</v>
      </c>
      <c r="J65" s="7">
        <v>-49300710189</v>
      </c>
      <c r="K65" s="7">
        <f>Table6[[#This Row],[159506435274]]-Table6[[#This Row],[Column2]]</f>
        <v>7792979966</v>
      </c>
    </row>
    <row r="66" spans="1:11" ht="23.1" customHeight="1" x14ac:dyDescent="0.6">
      <c r="A66" s="6" t="s">
        <v>218</v>
      </c>
      <c r="B66" s="7">
        <v>1177420</v>
      </c>
      <c r="C66" s="7">
        <v>37041521063</v>
      </c>
      <c r="D66" s="7">
        <f>-1*Table6[[#This Row],[-120169268207.0000]]</f>
        <v>30805338982</v>
      </c>
      <c r="E66" s="7">
        <v>-30805338982</v>
      </c>
      <c r="F66" s="7">
        <f>Table6[[#This Row],[147908075376]]-Table6[[#This Row],[Column1]]</f>
        <v>6236182081</v>
      </c>
      <c r="G66" s="7">
        <v>1818247</v>
      </c>
      <c r="H66" s="7">
        <v>55061199328</v>
      </c>
      <c r="I66" s="7">
        <f>-1*Table6[[#This Row],[-131191689116.0000]]</f>
        <v>47525007147</v>
      </c>
      <c r="J66" s="7">
        <v>-47525007147</v>
      </c>
      <c r="K66" s="7">
        <f>Table6[[#This Row],[159506435274]]-Table6[[#This Row],[Column2]]</f>
        <v>7536192181</v>
      </c>
    </row>
    <row r="67" spans="1:11" ht="23.1" customHeight="1" x14ac:dyDescent="0.6">
      <c r="A67" s="6" t="s">
        <v>240</v>
      </c>
      <c r="B67" s="7">
        <v>1504438</v>
      </c>
      <c r="C67" s="7">
        <v>40032008685</v>
      </c>
      <c r="D67" s="7">
        <f>-1*Table6[[#This Row],[-120169268207.0000]]</f>
        <v>31717057229</v>
      </c>
      <c r="E67" s="7">
        <v>-31717057229</v>
      </c>
      <c r="F67" s="7">
        <f>Table6[[#This Row],[147908075376]]-Table6[[#This Row],[Column1]]</f>
        <v>8314951456</v>
      </c>
      <c r="G67" s="7">
        <v>2926378</v>
      </c>
      <c r="H67" s="7">
        <v>72258520432</v>
      </c>
      <c r="I67" s="7">
        <f>-1*Table6[[#This Row],[-131191689116.0000]]</f>
        <v>61144536303</v>
      </c>
      <c r="J67" s="7">
        <v>-61144536303</v>
      </c>
      <c r="K67" s="7">
        <f>Table6[[#This Row],[159506435274]]-Table6[[#This Row],[Column2]]</f>
        <v>11113984129</v>
      </c>
    </row>
    <row r="68" spans="1:11" ht="23.1" customHeight="1" x14ac:dyDescent="0.6">
      <c r="A68" s="6" t="s">
        <v>236</v>
      </c>
      <c r="B68" s="7">
        <v>935739</v>
      </c>
      <c r="C68" s="7">
        <v>25709251633</v>
      </c>
      <c r="D68" s="7">
        <f>-1*Table6[[#This Row],[-120169268207.0000]]</f>
        <v>21681968412</v>
      </c>
      <c r="E68" s="7">
        <v>-21681968412</v>
      </c>
      <c r="F68" s="7">
        <f>Table6[[#This Row],[147908075376]]-Table6[[#This Row],[Column1]]</f>
        <v>4027283221</v>
      </c>
      <c r="G68" s="7">
        <v>3900669</v>
      </c>
      <c r="H68" s="7">
        <v>98353972606</v>
      </c>
      <c r="I68" s="7">
        <f>-1*Table6[[#This Row],[-131191689116.0000]]</f>
        <v>87961879501</v>
      </c>
      <c r="J68" s="7">
        <v>-87961879501</v>
      </c>
      <c r="K68" s="7">
        <f>Table6[[#This Row],[159506435274]]-Table6[[#This Row],[Column2]]</f>
        <v>10392093105</v>
      </c>
    </row>
    <row r="69" spans="1:11" ht="23.1" customHeight="1" x14ac:dyDescent="0.6">
      <c r="A69" s="6" t="s">
        <v>269</v>
      </c>
      <c r="B69" s="7">
        <v>518671</v>
      </c>
      <c r="C69" s="7">
        <v>5296705348</v>
      </c>
      <c r="D69" s="7">
        <f>-1*Table6[[#This Row],[-120169268207.0000]]</f>
        <v>4171568992</v>
      </c>
      <c r="E69" s="7">
        <v>-4171568992</v>
      </c>
      <c r="F69" s="7">
        <f>Table6[[#This Row],[147908075376]]-Table6[[#This Row],[Column1]]</f>
        <v>1125136356</v>
      </c>
      <c r="G69" s="7">
        <v>1715198</v>
      </c>
      <c r="H69" s="7">
        <v>15833566265</v>
      </c>
      <c r="I69" s="7">
        <f>-1*Table6[[#This Row],[-131191689116.0000]]</f>
        <v>13721973810</v>
      </c>
      <c r="J69" s="7">
        <v>-13721973810</v>
      </c>
      <c r="K69" s="7">
        <f>Table6[[#This Row],[159506435274]]-Table6[[#This Row],[Column2]]</f>
        <v>2111592455</v>
      </c>
    </row>
    <row r="70" spans="1:11" ht="23.1" customHeight="1" x14ac:dyDescent="0.6">
      <c r="A70" s="6" t="s">
        <v>262</v>
      </c>
      <c r="B70" s="7">
        <v>2225463</v>
      </c>
      <c r="C70" s="7">
        <v>18536713482</v>
      </c>
      <c r="D70" s="7">
        <f>-1*Table6[[#This Row],[-120169268207.0000]]</f>
        <v>14615410850</v>
      </c>
      <c r="E70" s="7">
        <v>-14615410850</v>
      </c>
      <c r="F70" s="7">
        <f>Table6[[#This Row],[147908075376]]-Table6[[#This Row],[Column1]]</f>
        <v>3921302632</v>
      </c>
      <c r="G70" s="7">
        <v>5140762</v>
      </c>
      <c r="H70" s="7">
        <v>39311618842</v>
      </c>
      <c r="I70" s="7">
        <f>-1*Table6[[#This Row],[-131191689116.0000]]</f>
        <v>33028782388</v>
      </c>
      <c r="J70" s="7">
        <v>-33028782388</v>
      </c>
      <c r="K70" s="7">
        <f>Table6[[#This Row],[159506435274]]-Table6[[#This Row],[Column2]]</f>
        <v>6282836454</v>
      </c>
    </row>
    <row r="71" spans="1:11" ht="23.1" customHeight="1" x14ac:dyDescent="0.6">
      <c r="A71" s="6" t="s">
        <v>193</v>
      </c>
      <c r="B71" s="7">
        <v>24899907</v>
      </c>
      <c r="C71" s="7">
        <v>100839290159</v>
      </c>
      <c r="D71" s="7">
        <f>-1*Table6[[#This Row],[-120169268207.0000]]</f>
        <v>75210225238</v>
      </c>
      <c r="E71" s="7">
        <v>-75210225238</v>
      </c>
      <c r="F71" s="7">
        <f>Table6[[#This Row],[147908075376]]-Table6[[#This Row],[Column1]]</f>
        <v>25629064921</v>
      </c>
      <c r="G71" s="7">
        <v>24899907</v>
      </c>
      <c r="H71" s="7">
        <v>100839290159</v>
      </c>
      <c r="I71" s="7">
        <f>-1*Table6[[#This Row],[-131191689116.0000]]</f>
        <v>75210225238</v>
      </c>
      <c r="J71" s="7">
        <v>-75210225238</v>
      </c>
      <c r="K71" s="7">
        <f>Table6[[#This Row],[159506435274]]-Table6[[#This Row],[Column2]]</f>
        <v>25629064921</v>
      </c>
    </row>
    <row r="72" spans="1:11" ht="23.1" customHeight="1" x14ac:dyDescent="0.6">
      <c r="A72" s="6" t="s">
        <v>227</v>
      </c>
      <c r="B72" s="7">
        <v>4603694</v>
      </c>
      <c r="C72" s="7">
        <v>64266860287</v>
      </c>
      <c r="D72" s="7">
        <f>-1*Table6[[#This Row],[-120169268207.0000]]</f>
        <v>51180110185</v>
      </c>
      <c r="E72" s="7">
        <v>-51180110185</v>
      </c>
      <c r="F72" s="7">
        <f>Table6[[#This Row],[147908075376]]-Table6[[#This Row],[Column1]]</f>
        <v>13086750102</v>
      </c>
      <c r="G72" s="7">
        <v>11217645</v>
      </c>
      <c r="H72" s="7">
        <v>127406014728</v>
      </c>
      <c r="I72" s="7">
        <f>-1*Table6[[#This Row],[-131191689116.0000]]</f>
        <v>118883564037</v>
      </c>
      <c r="J72" s="7">
        <v>-118883564037</v>
      </c>
      <c r="K72" s="7">
        <f>Table6[[#This Row],[159506435274]]-Table6[[#This Row],[Column2]]</f>
        <v>8522450691</v>
      </c>
    </row>
    <row r="73" spans="1:11" ht="23.1" customHeight="1" x14ac:dyDescent="0.6">
      <c r="A73" s="6" t="s">
        <v>237</v>
      </c>
      <c r="B73" s="7">
        <v>1448409</v>
      </c>
      <c r="C73" s="7">
        <v>17608073916</v>
      </c>
      <c r="D73" s="7">
        <f>-1*Table6[[#This Row],[-120169268207.0000]]</f>
        <v>11603903361</v>
      </c>
      <c r="E73" s="7">
        <v>-11603903361</v>
      </c>
      <c r="F73" s="7">
        <f>Table6[[#This Row],[147908075376]]-Table6[[#This Row],[Column1]]</f>
        <v>6004170555</v>
      </c>
      <c r="G73" s="7">
        <v>2506946</v>
      </c>
      <c r="H73" s="7">
        <v>27306919568</v>
      </c>
      <c r="I73" s="7">
        <f>-1*Table6[[#This Row],[-131191689116.0000]]</f>
        <v>20016387779</v>
      </c>
      <c r="J73" s="7">
        <v>-20016387779</v>
      </c>
      <c r="K73" s="7">
        <f>Table6[[#This Row],[159506435274]]-Table6[[#This Row],[Column2]]</f>
        <v>7290531789</v>
      </c>
    </row>
    <row r="74" spans="1:11" ht="23.1" customHeight="1" x14ac:dyDescent="0.6">
      <c r="A74" s="6" t="s">
        <v>192</v>
      </c>
      <c r="B74" s="7">
        <v>1416491</v>
      </c>
      <c r="C74" s="7">
        <v>14707616665</v>
      </c>
      <c r="D74" s="7">
        <f>-1*Table6[[#This Row],[-120169268207.0000]]</f>
        <v>10866972369</v>
      </c>
      <c r="E74" s="7">
        <v>-10866972369</v>
      </c>
      <c r="F74" s="7">
        <f>Table6[[#This Row],[147908075376]]-Table6[[#This Row],[Column1]]</f>
        <v>3840644296</v>
      </c>
      <c r="G74" s="7">
        <v>2198375</v>
      </c>
      <c r="H74" s="7">
        <v>21276404697</v>
      </c>
      <c r="I74" s="7">
        <f>-1*Table6[[#This Row],[-131191689116.0000]]</f>
        <v>16838501654</v>
      </c>
      <c r="J74" s="7">
        <v>-16838501654</v>
      </c>
      <c r="K74" s="7">
        <f>Table6[[#This Row],[159506435274]]-Table6[[#This Row],[Column2]]</f>
        <v>4437903043</v>
      </c>
    </row>
    <row r="75" spans="1:11" ht="23.1" customHeight="1" x14ac:dyDescent="0.6">
      <c r="A75" s="6" t="s">
        <v>253</v>
      </c>
      <c r="B75" s="7">
        <v>1089815</v>
      </c>
      <c r="C75" s="7">
        <v>103808905762</v>
      </c>
      <c r="D75" s="7">
        <f>-1*Table6[[#This Row],[-120169268207.0000]]</f>
        <v>92782957109</v>
      </c>
      <c r="E75" s="7">
        <v>-92782957109</v>
      </c>
      <c r="F75" s="7">
        <f>Table6[[#This Row],[147908075376]]-Table6[[#This Row],[Column1]]</f>
        <v>11025948653</v>
      </c>
      <c r="G75" s="7">
        <v>1876193</v>
      </c>
      <c r="H75" s="7">
        <v>176058965872</v>
      </c>
      <c r="I75" s="7">
        <f>-1*Table6[[#This Row],[-131191689116.0000]]</f>
        <v>159134984639</v>
      </c>
      <c r="J75" s="7">
        <v>-159134984639</v>
      </c>
      <c r="K75" s="7">
        <f>Table6[[#This Row],[159506435274]]-Table6[[#This Row],[Column2]]</f>
        <v>16923981233</v>
      </c>
    </row>
    <row r="76" spans="1:11" ht="23.1" customHeight="1" x14ac:dyDescent="0.6">
      <c r="A76" s="6" t="s">
        <v>203</v>
      </c>
      <c r="B76" s="7">
        <v>1694085</v>
      </c>
      <c r="C76" s="7">
        <v>38704564327</v>
      </c>
      <c r="D76" s="7">
        <f>-1*Table6[[#This Row],[-120169268207.0000]]</f>
        <v>34209923995</v>
      </c>
      <c r="E76" s="7">
        <v>-34209923995</v>
      </c>
      <c r="F76" s="7">
        <f>Table6[[#This Row],[147908075376]]-Table6[[#This Row],[Column1]]</f>
        <v>4494640332</v>
      </c>
      <c r="G76" s="7">
        <v>3246331</v>
      </c>
      <c r="H76" s="7">
        <v>68792002055</v>
      </c>
      <c r="I76" s="7">
        <f>-1*Table6[[#This Row],[-131191689116.0000]]</f>
        <v>62322624332</v>
      </c>
      <c r="J76" s="7">
        <v>-62322624332</v>
      </c>
      <c r="K76" s="7">
        <f>Table6[[#This Row],[159506435274]]-Table6[[#This Row],[Column2]]</f>
        <v>6469377723</v>
      </c>
    </row>
    <row r="77" spans="1:11" ht="23.1" customHeight="1" x14ac:dyDescent="0.6">
      <c r="A77" s="6" t="s">
        <v>258</v>
      </c>
      <c r="B77" s="7">
        <v>1584828</v>
      </c>
      <c r="C77" s="7">
        <v>52433432568</v>
      </c>
      <c r="D77" s="7">
        <f>-1*Table6[[#This Row],[-120169268207.0000]]</f>
        <v>51571073066</v>
      </c>
      <c r="E77" s="7">
        <v>-51571073066</v>
      </c>
      <c r="F77" s="7">
        <f>Table6[[#This Row],[147908075376]]-Table6[[#This Row],[Column1]]</f>
        <v>862359502</v>
      </c>
      <c r="G77" s="7">
        <v>2388199</v>
      </c>
      <c r="H77" s="7">
        <v>77757688122</v>
      </c>
      <c r="I77" s="7">
        <f>-1*Table6[[#This Row],[-131191689116.0000]]</f>
        <v>77757260123</v>
      </c>
      <c r="J77" s="7">
        <v>-77757260123</v>
      </c>
      <c r="K77" s="7">
        <f>Table6[[#This Row],[159506435274]]-Table6[[#This Row],[Column2]]</f>
        <v>427999</v>
      </c>
    </row>
    <row r="78" spans="1:11" ht="23.1" customHeight="1" x14ac:dyDescent="0.6">
      <c r="A78" s="6" t="s">
        <v>259</v>
      </c>
      <c r="B78" s="7">
        <v>5000141</v>
      </c>
      <c r="C78" s="7">
        <v>30400969723</v>
      </c>
      <c r="D78" s="7">
        <f>-1*Table6[[#This Row],[-120169268207.0000]]</f>
        <v>28039992045</v>
      </c>
      <c r="E78" s="7">
        <v>-28039992045</v>
      </c>
      <c r="F78" s="7">
        <f>Table6[[#This Row],[147908075376]]-Table6[[#This Row],[Column1]]</f>
        <v>2360977678</v>
      </c>
      <c r="G78" s="7">
        <v>9541255</v>
      </c>
      <c r="H78" s="7">
        <v>52025623412</v>
      </c>
      <c r="I78" s="7">
        <f>-1*Table6[[#This Row],[-131191689116.0000]]</f>
        <v>48140523974</v>
      </c>
      <c r="J78" s="7">
        <v>-48140523974</v>
      </c>
      <c r="K78" s="7">
        <f>Table6[[#This Row],[159506435274]]-Table6[[#This Row],[Column2]]</f>
        <v>3885099438</v>
      </c>
    </row>
    <row r="79" spans="1:11" ht="23.1" customHeight="1" x14ac:dyDescent="0.6">
      <c r="A79" s="6" t="s">
        <v>212</v>
      </c>
      <c r="B79" s="7">
        <v>2661262</v>
      </c>
      <c r="C79" s="7">
        <v>44168083913</v>
      </c>
      <c r="D79" s="7">
        <f>-1*Table6[[#This Row],[-120169268207.0000]]</f>
        <v>37813812543</v>
      </c>
      <c r="E79" s="7">
        <v>-37813812543</v>
      </c>
      <c r="F79" s="7">
        <f>Table6[[#This Row],[147908075376]]-Table6[[#This Row],[Column1]]</f>
        <v>6354271370</v>
      </c>
      <c r="G79" s="7">
        <v>3267331</v>
      </c>
      <c r="H79" s="7">
        <v>52994455090</v>
      </c>
      <c r="I79" s="7">
        <f>-1*Table6[[#This Row],[-131191689116.0000]]</f>
        <v>46323509108</v>
      </c>
      <c r="J79" s="7">
        <v>-46323509108</v>
      </c>
      <c r="K79" s="7">
        <f>Table6[[#This Row],[159506435274]]-Table6[[#This Row],[Column2]]</f>
        <v>6670945982</v>
      </c>
    </row>
    <row r="80" spans="1:11" ht="23.1" customHeight="1" x14ac:dyDescent="0.6">
      <c r="A80" s="6" t="s">
        <v>224</v>
      </c>
      <c r="B80" s="7">
        <v>1590601</v>
      </c>
      <c r="C80" s="7">
        <v>69599689626</v>
      </c>
      <c r="D80" s="7">
        <f>-1*Table6[[#This Row],[-120169268207.0000]]</f>
        <v>54446958330</v>
      </c>
      <c r="E80" s="7">
        <v>-54446958330</v>
      </c>
      <c r="F80" s="7">
        <f>Table6[[#This Row],[147908075376]]-Table6[[#This Row],[Column1]]</f>
        <v>15152731296</v>
      </c>
      <c r="G80" s="7">
        <v>3581409</v>
      </c>
      <c r="H80" s="7">
        <v>146364388471</v>
      </c>
      <c r="I80" s="7">
        <f>-1*Table6[[#This Row],[-131191689116.0000]]</f>
        <v>122324069451</v>
      </c>
      <c r="J80" s="7">
        <v>-122324069451</v>
      </c>
      <c r="K80" s="7">
        <f>Table6[[#This Row],[159506435274]]-Table6[[#This Row],[Column2]]</f>
        <v>24040319020</v>
      </c>
    </row>
    <row r="81" spans="1:11" ht="23.1" customHeight="1" x14ac:dyDescent="0.6">
      <c r="A81" s="6" t="s">
        <v>261</v>
      </c>
      <c r="B81" s="7">
        <v>325168</v>
      </c>
      <c r="C81" s="7">
        <v>11042729453</v>
      </c>
      <c r="D81" s="7">
        <f>-1*Table6[[#This Row],[-120169268207.0000]]</f>
        <v>8548928793</v>
      </c>
      <c r="E81" s="7">
        <v>-8548928793</v>
      </c>
      <c r="F81" s="7">
        <f>Table6[[#This Row],[147908075376]]-Table6[[#This Row],[Column1]]</f>
        <v>2493800660</v>
      </c>
      <c r="G81" s="7">
        <v>955266</v>
      </c>
      <c r="H81" s="7">
        <v>29543103957</v>
      </c>
      <c r="I81" s="7">
        <f>-1*Table6[[#This Row],[-131191689116.0000]]</f>
        <v>25069078632</v>
      </c>
      <c r="J81" s="7">
        <v>-25069078632</v>
      </c>
      <c r="K81" s="7">
        <f>Table6[[#This Row],[159506435274]]-Table6[[#This Row],[Column2]]</f>
        <v>4474025325</v>
      </c>
    </row>
    <row r="82" spans="1:11" ht="23.1" customHeight="1" x14ac:dyDescent="0.6">
      <c r="A82" s="6" t="s">
        <v>194</v>
      </c>
      <c r="B82" s="7">
        <v>765514</v>
      </c>
      <c r="C82" s="7">
        <v>11406848693</v>
      </c>
      <c r="D82" s="7">
        <f>-1*Table6[[#This Row],[-120169268207.0000]]</f>
        <v>9530411285</v>
      </c>
      <c r="E82" s="7">
        <v>-9530411285</v>
      </c>
      <c r="F82" s="7">
        <f>Table6[[#This Row],[147908075376]]-Table6[[#This Row],[Column1]]</f>
        <v>1876437408</v>
      </c>
      <c r="G82" s="7">
        <v>1863875</v>
      </c>
      <c r="H82" s="7">
        <v>26418938340</v>
      </c>
      <c r="I82" s="7">
        <f>-1*Table6[[#This Row],[-131191689116.0000]]</f>
        <v>23172484857</v>
      </c>
      <c r="J82" s="7">
        <v>-23172484857</v>
      </c>
      <c r="K82" s="7">
        <f>Table6[[#This Row],[159506435274]]-Table6[[#This Row],[Column2]]</f>
        <v>3246453483</v>
      </c>
    </row>
    <row r="83" spans="1:11" ht="23.1" customHeight="1" x14ac:dyDescent="0.6">
      <c r="A83" s="6" t="s">
        <v>221</v>
      </c>
      <c r="B83" s="7">
        <v>734630</v>
      </c>
      <c r="C83" s="7">
        <v>32947780254</v>
      </c>
      <c r="D83" s="7">
        <f>-1*Table6[[#This Row],[-120169268207.0000]]</f>
        <v>26371630798</v>
      </c>
      <c r="E83" s="7">
        <v>-26371630798</v>
      </c>
      <c r="F83" s="7">
        <f>Table6[[#This Row],[147908075376]]-Table6[[#This Row],[Column1]]</f>
        <v>6576149456</v>
      </c>
      <c r="G83" s="7">
        <v>1858576</v>
      </c>
      <c r="H83" s="7">
        <v>77116878410</v>
      </c>
      <c r="I83" s="7">
        <f>-1*Table6[[#This Row],[-131191689116.0000]]</f>
        <v>66196112841</v>
      </c>
      <c r="J83" s="7">
        <v>-66196112841</v>
      </c>
      <c r="K83" s="7">
        <f>Table6[[#This Row],[159506435274]]-Table6[[#This Row],[Column2]]</f>
        <v>10920765569</v>
      </c>
    </row>
    <row r="84" spans="1:11" ht="23.1" customHeight="1" x14ac:dyDescent="0.6">
      <c r="A84" s="6" t="s">
        <v>225</v>
      </c>
      <c r="B84" s="7">
        <v>1989109</v>
      </c>
      <c r="C84" s="7">
        <v>108999683720</v>
      </c>
      <c r="D84" s="7">
        <f>-1*Table6[[#This Row],[-120169268207.0000]]</f>
        <v>81573214275</v>
      </c>
      <c r="E84" s="7">
        <v>-81573214275</v>
      </c>
      <c r="F84" s="7">
        <f>Table6[[#This Row],[147908075376]]-Table6[[#This Row],[Column1]]</f>
        <v>27426469445</v>
      </c>
      <c r="G84" s="7">
        <v>2906031</v>
      </c>
      <c r="H84" s="7">
        <v>150698169665</v>
      </c>
      <c r="I84" s="7">
        <f>-1*Table6[[#This Row],[-131191689116.0000]]</f>
        <v>119060189373</v>
      </c>
      <c r="J84" s="7">
        <v>-119060189373</v>
      </c>
      <c r="K84" s="7">
        <f>Table6[[#This Row],[159506435274]]-Table6[[#This Row],[Column2]]</f>
        <v>31637980292</v>
      </c>
    </row>
    <row r="85" spans="1:11" ht="23.1" customHeight="1" x14ac:dyDescent="0.6">
      <c r="A85" s="6" t="s">
        <v>250</v>
      </c>
      <c r="B85" s="7">
        <v>1139223</v>
      </c>
      <c r="C85" s="7">
        <v>22651324866</v>
      </c>
      <c r="D85" s="7">
        <f>-1*Table6[[#This Row],[-120169268207.0000]]</f>
        <v>19390267135</v>
      </c>
      <c r="E85" s="7">
        <v>-19390267135</v>
      </c>
      <c r="F85" s="7">
        <f>Table6[[#This Row],[147908075376]]-Table6[[#This Row],[Column1]]</f>
        <v>3261057731</v>
      </c>
      <c r="G85" s="7">
        <v>2273254</v>
      </c>
      <c r="H85" s="7">
        <v>43332178837</v>
      </c>
      <c r="I85" s="7">
        <f>-1*Table6[[#This Row],[-131191689116.0000]]</f>
        <v>38669967265</v>
      </c>
      <c r="J85" s="7">
        <v>-38669967265</v>
      </c>
      <c r="K85" s="7">
        <f>Table6[[#This Row],[159506435274]]-Table6[[#This Row],[Column2]]</f>
        <v>4662211572</v>
      </c>
    </row>
    <row r="86" spans="1:11" ht="23.1" customHeight="1" x14ac:dyDescent="0.6">
      <c r="A86" s="6" t="s">
        <v>276</v>
      </c>
      <c r="B86" s="7">
        <v>309230814</v>
      </c>
      <c r="C86" s="7">
        <v>6971883337163</v>
      </c>
      <c r="D86" s="7">
        <f>-1*Table6[[#This Row],[-120169268207.0000]]</f>
        <v>6928340067187</v>
      </c>
      <c r="E86" s="7">
        <v>-6928340067187</v>
      </c>
      <c r="F86" s="7">
        <f>Table6[[#This Row],[147908075376]]-Table6[[#This Row],[Column1]]</f>
        <v>43543269976</v>
      </c>
      <c r="G86" s="7">
        <v>439403844</v>
      </c>
      <c r="H86" s="7">
        <v>9845424417246</v>
      </c>
      <c r="I86" s="7">
        <f>-1*Table6[[#This Row],[-131191689116.0000]]</f>
        <v>9796792273382</v>
      </c>
      <c r="J86" s="7">
        <v>-9796792273382</v>
      </c>
      <c r="K86" s="7">
        <f>Table6[[#This Row],[159506435274]]-Table6[[#This Row],[Column2]]</f>
        <v>48632143864</v>
      </c>
    </row>
    <row r="87" spans="1:11" ht="23.1" customHeight="1" x14ac:dyDescent="0.6">
      <c r="A87" s="6" t="s">
        <v>303</v>
      </c>
      <c r="B87" s="7">
        <v>130000</v>
      </c>
      <c r="C87" s="7">
        <v>129905750000</v>
      </c>
      <c r="D87" s="7">
        <f>-1*Table6[[#This Row],[-120169268207.0000]]</f>
        <v>129905750000</v>
      </c>
      <c r="E87" s="7">
        <v>-129905750000</v>
      </c>
      <c r="F87" s="7">
        <f>Table6[[#This Row],[147908075376]]-Table6[[#This Row],[Column1]]</f>
        <v>0</v>
      </c>
      <c r="G87" s="7">
        <v>130000</v>
      </c>
      <c r="H87" s="7">
        <v>129905750000</v>
      </c>
      <c r="I87" s="7">
        <f>-1*Table6[[#This Row],[-131191689116.0000]]</f>
        <v>129905750000</v>
      </c>
      <c r="J87" s="7">
        <v>-129905750000</v>
      </c>
      <c r="K87" s="7">
        <f>Table6[[#This Row],[159506435274]]-Table6[[#This Row],[Column2]]</f>
        <v>0</v>
      </c>
    </row>
    <row r="88" spans="1:11" ht="23.1" customHeight="1" x14ac:dyDescent="0.6">
      <c r="A88" s="6" t="s">
        <v>300</v>
      </c>
      <c r="B88" s="7">
        <v>900000</v>
      </c>
      <c r="C88" s="7">
        <v>899933950000</v>
      </c>
      <c r="D88" s="7">
        <f>-1*Table6[[#This Row],[-120169268207.0000]]</f>
        <v>899830996507</v>
      </c>
      <c r="E88" s="7">
        <v>-899830996507</v>
      </c>
      <c r="F88" s="7">
        <f>Table6[[#This Row],[147908075376]]-Table6[[#This Row],[Column1]]</f>
        <v>102953493</v>
      </c>
      <c r="G88" s="7">
        <v>1170000</v>
      </c>
      <c r="H88" s="7">
        <v>1169896199999</v>
      </c>
      <c r="I88" s="7">
        <f>-1*Table6[[#This Row],[-131191689116.0000]]</f>
        <v>1169663824930</v>
      </c>
      <c r="J88" s="7">
        <v>-1169663824930</v>
      </c>
      <c r="K88" s="7">
        <f>Table6[[#This Row],[159506435274]]-Table6[[#This Row],[Column2]]</f>
        <v>232375069</v>
      </c>
    </row>
    <row r="89" spans="1:11" ht="23.1" customHeight="1" x14ac:dyDescent="0.6">
      <c r="A89" s="6" t="s">
        <v>331</v>
      </c>
      <c r="B89" s="7">
        <v>0</v>
      </c>
      <c r="C89" s="7">
        <v>0</v>
      </c>
      <c r="D89" s="7">
        <f>-1*Table6[[#This Row],[-120169268207.0000]]</f>
        <v>0</v>
      </c>
      <c r="E89" s="7">
        <v>0</v>
      </c>
      <c r="F89" s="7">
        <f>Table6[[#This Row],[147908075376]]-Table6[[#This Row],[Column1]]</f>
        <v>0</v>
      </c>
      <c r="G89" s="7">
        <v>35</v>
      </c>
      <c r="H89" s="7">
        <v>19638604</v>
      </c>
      <c r="I89" s="7">
        <f>-1*Table6[[#This Row],[-131191689116.0000]]</f>
        <v>19584437</v>
      </c>
      <c r="J89" s="7">
        <v>-19584437</v>
      </c>
      <c r="K89" s="7">
        <f>Table6[[#This Row],[159506435274]]-Table6[[#This Row],[Column2]]</f>
        <v>54167</v>
      </c>
    </row>
    <row r="90" spans="1:11" ht="23.1" customHeight="1" x14ac:dyDescent="0.6">
      <c r="A90" s="6" t="s">
        <v>325</v>
      </c>
      <c r="B90" s="7">
        <v>0</v>
      </c>
      <c r="C90" s="7">
        <v>0</v>
      </c>
      <c r="D90" s="7">
        <f>-1*Table6[[#This Row],[-120169268207.0000]]</f>
        <v>0</v>
      </c>
      <c r="E90" s="7">
        <v>0</v>
      </c>
      <c r="F90" s="7">
        <f>Table6[[#This Row],[147908075376]]-Table6[[#This Row],[Column1]]</f>
        <v>0</v>
      </c>
      <c r="G90" s="7">
        <v>525415</v>
      </c>
      <c r="H90" s="7">
        <v>306727910812</v>
      </c>
      <c r="I90" s="7">
        <f>-1*Table6[[#This Row],[-131191689116.0000]]</f>
        <v>303547732532</v>
      </c>
      <c r="J90" s="7">
        <v>-303547732532</v>
      </c>
      <c r="K90" s="7">
        <f>Table6[[#This Row],[159506435274]]-Table6[[#This Row],[Column2]]</f>
        <v>3180178280</v>
      </c>
    </row>
    <row r="91" spans="1:11" ht="23.1" customHeight="1" x14ac:dyDescent="0.6">
      <c r="A91" s="6" t="s">
        <v>324</v>
      </c>
      <c r="B91" s="7">
        <v>0</v>
      </c>
      <c r="C91" s="7">
        <v>0</v>
      </c>
      <c r="D91" s="7">
        <f>-1*Table6[[#This Row],[-120169268207.0000]]</f>
        <v>0</v>
      </c>
      <c r="E91" s="7">
        <v>0</v>
      </c>
      <c r="F91" s="7">
        <f>Table6[[#This Row],[147908075376]]-Table6[[#This Row],[Column1]]</f>
        <v>0</v>
      </c>
      <c r="G91" s="7">
        <v>78454</v>
      </c>
      <c r="H91" s="7">
        <v>44544485994</v>
      </c>
      <c r="I91" s="7">
        <f>-1*Table6[[#This Row],[-131191689116.0000]]</f>
        <v>44432446944</v>
      </c>
      <c r="J91" s="7">
        <v>-44432446944</v>
      </c>
      <c r="K91" s="7">
        <f>Table6[[#This Row],[159506435274]]-Table6[[#This Row],[Column2]]</f>
        <v>112039050</v>
      </c>
    </row>
    <row r="92" spans="1:11" ht="23.1" customHeight="1" x14ac:dyDescent="0.6">
      <c r="A92" s="6" t="s">
        <v>327</v>
      </c>
      <c r="B92" s="7">
        <v>0</v>
      </c>
      <c r="C92" s="7">
        <v>0</v>
      </c>
      <c r="D92" s="7">
        <f>-1*Table6[[#This Row],[-120169268207.0000]]</f>
        <v>0</v>
      </c>
      <c r="E92" s="7">
        <v>0</v>
      </c>
      <c r="F92" s="7">
        <f>Table6[[#This Row],[147908075376]]-Table6[[#This Row],[Column1]]</f>
        <v>0</v>
      </c>
      <c r="G92" s="7">
        <v>25134</v>
      </c>
      <c r="H92" s="7">
        <v>15873171608</v>
      </c>
      <c r="I92" s="7">
        <f>-1*Table6[[#This Row],[-131191689116.0000]]</f>
        <v>15816723374</v>
      </c>
      <c r="J92" s="7">
        <v>-15816723374</v>
      </c>
      <c r="K92" s="7">
        <f>Table6[[#This Row],[159506435274]]-Table6[[#This Row],[Column2]]</f>
        <v>56448234</v>
      </c>
    </row>
    <row r="93" spans="1:11" ht="23.1" customHeight="1" x14ac:dyDescent="0.6">
      <c r="A93" s="6" t="s">
        <v>323</v>
      </c>
      <c r="B93" s="7">
        <v>0</v>
      </c>
      <c r="C93" s="7">
        <v>0</v>
      </c>
      <c r="D93" s="7">
        <f>-1*Table6[[#This Row],[-120169268207.0000]]</f>
        <v>0</v>
      </c>
      <c r="E93" s="7">
        <v>0</v>
      </c>
      <c r="F93" s="7">
        <f>Table6[[#This Row],[147908075376]]-Table6[[#This Row],[Column1]]</f>
        <v>0</v>
      </c>
      <c r="G93" s="7">
        <v>4596</v>
      </c>
      <c r="H93" s="7">
        <v>2847454099</v>
      </c>
      <c r="I93" s="7">
        <f>-1*Table6[[#This Row],[-131191689116.0000]]</f>
        <v>2836270125</v>
      </c>
      <c r="J93" s="7">
        <v>-2836270125</v>
      </c>
      <c r="K93" s="7">
        <f>Table6[[#This Row],[159506435274]]-Table6[[#This Row],[Column2]]</f>
        <v>11183974</v>
      </c>
    </row>
    <row r="94" spans="1:11" ht="23.1" customHeight="1" x14ac:dyDescent="0.6">
      <c r="A94" s="6" t="s">
        <v>329</v>
      </c>
      <c r="B94" s="7">
        <v>0</v>
      </c>
      <c r="C94" s="7">
        <v>0</v>
      </c>
      <c r="D94" s="7">
        <f>-1*Table6[[#This Row],[-120169268207.0000]]</f>
        <v>0</v>
      </c>
      <c r="E94" s="7">
        <v>0</v>
      </c>
      <c r="F94" s="7">
        <f>Table6[[#This Row],[147908075376]]-Table6[[#This Row],[Column1]]</f>
        <v>0</v>
      </c>
      <c r="G94" s="7">
        <v>50027</v>
      </c>
      <c r="H94" s="7">
        <v>30344373379</v>
      </c>
      <c r="I94" s="7">
        <f>-1*Table6[[#This Row],[-131191689116.0000]]</f>
        <v>30274260375</v>
      </c>
      <c r="J94" s="7">
        <v>-30274260375</v>
      </c>
      <c r="K94" s="7">
        <f>Table6[[#This Row],[159506435274]]-Table6[[#This Row],[Column2]]</f>
        <v>70113004</v>
      </c>
    </row>
    <row r="95" spans="1:11" ht="23.1" customHeight="1" x14ac:dyDescent="0.6">
      <c r="A95" s="6" t="s">
        <v>326</v>
      </c>
      <c r="B95" s="7">
        <v>0</v>
      </c>
      <c r="C95" s="7">
        <v>0</v>
      </c>
      <c r="D95" s="7">
        <f>-1*Table6[[#This Row],[-120169268207.0000]]</f>
        <v>0</v>
      </c>
      <c r="E95" s="7">
        <v>0</v>
      </c>
      <c r="F95" s="7">
        <f>Table6[[#This Row],[147908075376]]-Table6[[#This Row],[Column1]]</f>
        <v>0</v>
      </c>
      <c r="G95" s="7">
        <v>9057</v>
      </c>
      <c r="H95" s="7">
        <v>5421119269</v>
      </c>
      <c r="I95" s="7">
        <f>-1*Table6[[#This Row],[-131191689116.0000]]</f>
        <v>5393093868</v>
      </c>
      <c r="J95" s="7">
        <v>-5393093868</v>
      </c>
      <c r="K95" s="7">
        <f>Table6[[#This Row],[159506435274]]-Table6[[#This Row],[Column2]]</f>
        <v>28025401</v>
      </c>
    </row>
    <row r="96" spans="1:11" ht="23.1" customHeight="1" x14ac:dyDescent="0.6">
      <c r="A96" s="6" t="s">
        <v>330</v>
      </c>
      <c r="B96" s="7">
        <v>0</v>
      </c>
      <c r="C96" s="7">
        <v>0</v>
      </c>
      <c r="D96" s="7">
        <f>-1*Table6[[#This Row],[-120169268207.0000]]</f>
        <v>0</v>
      </c>
      <c r="E96" s="7">
        <v>0</v>
      </c>
      <c r="F96" s="7">
        <f>Table6[[#This Row],[147908075376]]-Table6[[#This Row],[Column1]]</f>
        <v>0</v>
      </c>
      <c r="G96" s="7">
        <v>860</v>
      </c>
      <c r="H96" s="7">
        <v>500157124</v>
      </c>
      <c r="I96" s="7">
        <f>-1*Table6[[#This Row],[-131191689116.0000]]</f>
        <v>498309611</v>
      </c>
      <c r="J96" s="7">
        <v>-498309611</v>
      </c>
      <c r="K96" s="7">
        <f>Table6[[#This Row],[159506435274]]-Table6[[#This Row],[Column2]]</f>
        <v>1847513</v>
      </c>
    </row>
    <row r="97" spans="1:11" ht="23.1" customHeight="1" x14ac:dyDescent="0.6">
      <c r="A97" s="6" t="s">
        <v>328</v>
      </c>
      <c r="B97" s="7">
        <v>0</v>
      </c>
      <c r="C97" s="7">
        <v>0</v>
      </c>
      <c r="D97" s="7">
        <f>-1*Table6[[#This Row],[-120169268207.0000]]</f>
        <v>0</v>
      </c>
      <c r="E97" s="7">
        <v>0</v>
      </c>
      <c r="F97" s="7">
        <f>Table6[[#This Row],[147908075376]]-Table6[[#This Row],[Column1]]</f>
        <v>0</v>
      </c>
      <c r="G97" s="7">
        <v>3050</v>
      </c>
      <c r="H97" s="7">
        <v>1764791599</v>
      </c>
      <c r="I97" s="7">
        <f>-1*Table6[[#This Row],[-131191689116.0000]]</f>
        <v>1761125890</v>
      </c>
      <c r="J97" s="7">
        <v>-1761125890</v>
      </c>
      <c r="K97" s="7">
        <f>Table6[[#This Row],[159506435274]]-Table6[[#This Row],[Column2]]</f>
        <v>3665709</v>
      </c>
    </row>
    <row r="98" spans="1:11" ht="23.1" customHeight="1" x14ac:dyDescent="0.6">
      <c r="A98" s="6" t="s">
        <v>294</v>
      </c>
      <c r="B98" s="7">
        <v>70000</v>
      </c>
      <c r="C98" s="7">
        <v>69949250000</v>
      </c>
      <c r="D98" s="7">
        <f>-1*Table6[[#This Row],[-120169268207.0000]]</f>
        <v>70009379807</v>
      </c>
      <c r="E98" s="7">
        <v>-70009379807</v>
      </c>
      <c r="F98" s="7">
        <f>Table6[[#This Row],[147908075376]]-Table6[[#This Row],[Column1]]</f>
        <v>-60129807</v>
      </c>
      <c r="G98" s="7">
        <v>70000</v>
      </c>
      <c r="H98" s="7">
        <v>69949250000</v>
      </c>
      <c r="I98" s="7">
        <f>-1*Table6[[#This Row],[-131191689116.0000]]</f>
        <v>70009379807</v>
      </c>
      <c r="J98" s="7">
        <v>-70009379807</v>
      </c>
      <c r="K98" s="7">
        <f>Table6[[#This Row],[159506435274]]-Table6[[#This Row],[Column2]]</f>
        <v>-60129807</v>
      </c>
    </row>
    <row r="99" spans="1:11" ht="23.1" customHeight="1" x14ac:dyDescent="0.6">
      <c r="A99" s="6" t="s">
        <v>306</v>
      </c>
      <c r="B99" s="7">
        <v>833000</v>
      </c>
      <c r="C99" s="7">
        <v>799752156042</v>
      </c>
      <c r="D99" s="7">
        <f>-1*Table6[[#This Row],[-120169268207.0000]]</f>
        <v>799939927998</v>
      </c>
      <c r="E99" s="7">
        <v>-799939927998</v>
      </c>
      <c r="F99" s="7">
        <f>Table6[[#This Row],[147908075376]]-Table6[[#This Row],[Column1]]</f>
        <v>-187771956</v>
      </c>
      <c r="G99" s="7">
        <v>833000</v>
      </c>
      <c r="H99" s="7">
        <v>799752156042</v>
      </c>
      <c r="I99" s="7">
        <f>-1*Table6[[#This Row],[-131191689116.0000]]</f>
        <v>799939927998</v>
      </c>
      <c r="J99" s="7">
        <v>-799939927998</v>
      </c>
      <c r="K99" s="7">
        <f>Table6[[#This Row],[159506435274]]-Table6[[#This Row],[Column2]]</f>
        <v>-187771956</v>
      </c>
    </row>
    <row r="100" spans="1:11" ht="23.1" customHeight="1" x14ac:dyDescent="0.6">
      <c r="A100" s="6" t="s">
        <v>309</v>
      </c>
      <c r="B100" s="7">
        <v>580000</v>
      </c>
      <c r="C100" s="7">
        <v>579579500000</v>
      </c>
      <c r="D100" s="7">
        <f>-1*Table6[[#This Row],[-120169268207.0000]]</f>
        <v>580379556667</v>
      </c>
      <c r="E100" s="7">
        <v>-580379556667</v>
      </c>
      <c r="F100" s="7">
        <f>Table6[[#This Row],[147908075376]]-Table6[[#This Row],[Column1]]</f>
        <v>-800056667</v>
      </c>
      <c r="G100" s="7">
        <v>1010000</v>
      </c>
      <c r="H100" s="7">
        <v>1009267750000</v>
      </c>
      <c r="I100" s="7">
        <f>-1*Table6[[#This Row],[-131191689116.0000]]</f>
        <v>1010461406667</v>
      </c>
      <c r="J100" s="7">
        <v>-1010461406667</v>
      </c>
      <c r="K100" s="7">
        <f>Table6[[#This Row],[159506435274]]-Table6[[#This Row],[Column2]]</f>
        <v>-1193656667</v>
      </c>
    </row>
    <row r="101" spans="1:11" ht="23.1" customHeight="1" x14ac:dyDescent="0.6">
      <c r="A101" s="6" t="s">
        <v>291</v>
      </c>
      <c r="B101" s="7">
        <v>620000</v>
      </c>
      <c r="C101" s="7">
        <f>619601250000-50749997</f>
        <v>619550500003</v>
      </c>
      <c r="D101" s="7">
        <f>-1*Table6[[#This Row],[-120169268207.0000]]</f>
        <v>620449500000</v>
      </c>
      <c r="E101" s="7">
        <v>-620449500000</v>
      </c>
      <c r="F101" s="7">
        <f>Table6[[#This Row],[147908075376]]-Table6[[#This Row],[Column1]]</f>
        <v>-898999997</v>
      </c>
      <c r="G101" s="7">
        <v>620000</v>
      </c>
      <c r="H101" s="7">
        <f>619601250000-50749997</f>
        <v>619550500003</v>
      </c>
      <c r="I101" s="7">
        <f>-1*Table6[[#This Row],[-131191689116.0000]]</f>
        <v>620449500000</v>
      </c>
      <c r="J101" s="7">
        <v>-620449500000</v>
      </c>
      <c r="K101" s="7">
        <f>Table6[[#This Row],[159506435274]]-Table6[[#This Row],[Column2]]</f>
        <v>-898999997</v>
      </c>
    </row>
    <row r="102" spans="1:11" ht="23.1" customHeight="1" thickBot="1" x14ac:dyDescent="0.65">
      <c r="A102" s="6" t="s">
        <v>178</v>
      </c>
      <c r="B102" s="7"/>
      <c r="C102" s="40">
        <f>SUM(C7:C101)</f>
        <v>13943786046312</v>
      </c>
      <c r="D102" s="40">
        <f>SUM(D7:D101)</f>
        <v>13161446670999</v>
      </c>
      <c r="E102" s="7">
        <f>SUM(E7:E101)</f>
        <v>-13161446670999</v>
      </c>
      <c r="F102" s="40">
        <f>SUM(F7:F101)</f>
        <v>782339375313</v>
      </c>
      <c r="G102" s="7"/>
      <c r="H102" s="40">
        <f>SUM(H7:H101)</f>
        <v>22050109465330</v>
      </c>
      <c r="I102" s="40">
        <f>SUM(I7:I101)</f>
        <v>20849089088765</v>
      </c>
      <c r="J102" s="7">
        <f>SUM(J7:J101)</f>
        <v>-20849089088765</v>
      </c>
      <c r="K102" s="40">
        <f>SUM(K7:K101)</f>
        <v>1201020376565</v>
      </c>
    </row>
    <row r="103" spans="1:11" ht="23.1" customHeight="1" thickTop="1" x14ac:dyDescent="0.6">
      <c r="A103" s="6" t="s">
        <v>179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</row>
  </sheetData>
  <mergeCells count="7">
    <mergeCell ref="A1:K1"/>
    <mergeCell ref="A2:K2"/>
    <mergeCell ref="A3:K3"/>
    <mergeCell ref="B5:F5"/>
    <mergeCell ref="G5:K5"/>
    <mergeCell ref="A4:F4"/>
    <mergeCell ref="G4:K4"/>
  </mergeCells>
  <pageMargins left="0.7" right="0.7" top="0.75" bottom="0.75" header="0.3" footer="0.3"/>
  <pageSetup paperSize="9" scale="75" orientation="landscape" r:id="rId1"/>
  <headerFooter differentOddEven="1" differentFirst="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rightToLeft="1" view="pageBreakPreview" topLeftCell="A94" zoomScale="106" zoomScaleNormal="100" zoomScaleSheetLayoutView="106" workbookViewId="0">
      <selection activeCell="K7" sqref="K7:K87"/>
    </sheetView>
  </sheetViews>
  <sheetFormatPr defaultRowHeight="22.5" x14ac:dyDescent="0.6"/>
  <cols>
    <col min="1" max="1" width="35.5703125" style="8" bestFit="1" customWidth="1"/>
    <col min="2" max="2" width="12.85546875" style="8" bestFit="1" customWidth="1"/>
    <col min="3" max="3" width="18" style="8" bestFit="1" customWidth="1"/>
    <col min="4" max="4" width="17.140625" style="55" customWidth="1"/>
    <col min="5" max="5" width="19.140625" style="8" hidden="1" customWidth="1"/>
    <col min="6" max="6" width="29.28515625" style="8" bestFit="1" customWidth="1"/>
    <col min="7" max="7" width="12.85546875" style="8" bestFit="1" customWidth="1"/>
    <col min="8" max="8" width="18" style="8" bestFit="1" customWidth="1"/>
    <col min="9" max="9" width="16.5703125" style="55" customWidth="1"/>
    <col min="10" max="10" width="19.5703125" style="8" hidden="1" customWidth="1"/>
    <col min="11" max="11" width="29.28515625" style="8" bestFit="1" customWidth="1"/>
    <col min="12" max="12" width="9.140625" style="1" customWidth="1"/>
    <col min="13" max="16384" width="9.140625" style="1"/>
  </cols>
  <sheetData>
    <row r="1" spans="1:11" ht="25.5" x14ac:dyDescent="0.6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25.5" x14ac:dyDescent="0.6">
      <c r="A2" s="79" t="s">
        <v>316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25.5" x14ac:dyDescent="0.6">
      <c r="A3" s="79" t="s">
        <v>317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25.5" x14ac:dyDescent="0.6">
      <c r="A4" s="80" t="s">
        <v>396</v>
      </c>
      <c r="B4" s="80"/>
      <c r="C4" s="80"/>
      <c r="D4" s="80"/>
      <c r="E4" s="80"/>
    </row>
    <row r="5" spans="1:11" ht="16.5" customHeight="1" x14ac:dyDescent="0.6">
      <c r="B5" s="84" t="s">
        <v>408</v>
      </c>
      <c r="C5" s="84"/>
      <c r="D5" s="84"/>
      <c r="E5" s="84"/>
      <c r="F5" s="84"/>
      <c r="G5" s="83" t="s">
        <v>319</v>
      </c>
      <c r="H5" s="83"/>
      <c r="I5" s="83"/>
      <c r="J5" s="83"/>
      <c r="K5" s="83"/>
    </row>
    <row r="6" spans="1:11" ht="53.25" customHeight="1" x14ac:dyDescent="0.6">
      <c r="A6" s="18" t="s">
        <v>348</v>
      </c>
      <c r="B6" s="19" t="s">
        <v>185</v>
      </c>
      <c r="C6" s="19" t="s">
        <v>187</v>
      </c>
      <c r="D6" s="54" t="str">
        <f>E6</f>
        <v>ارزش دفتری</v>
      </c>
      <c r="E6" s="19" t="s">
        <v>350</v>
      </c>
      <c r="F6" s="20" t="s">
        <v>397</v>
      </c>
      <c r="G6" s="19" t="s">
        <v>185</v>
      </c>
      <c r="H6" s="19" t="s">
        <v>187</v>
      </c>
      <c r="I6" s="54" t="str">
        <f>J6</f>
        <v>ارزش دفتری</v>
      </c>
      <c r="J6" s="19" t="s">
        <v>350</v>
      </c>
      <c r="K6" s="20" t="s">
        <v>397</v>
      </c>
    </row>
    <row r="7" spans="1:11" ht="23.1" customHeight="1" x14ac:dyDescent="0.6">
      <c r="A7" s="6" t="s">
        <v>192</v>
      </c>
      <c r="B7" s="7">
        <v>17880236</v>
      </c>
      <c r="C7" s="7">
        <v>202071777805</v>
      </c>
      <c r="D7" s="7">
        <f>-1*Table7[[#This Row],[-153339638086.0000]]</f>
        <v>153339638086</v>
      </c>
      <c r="E7" s="7">
        <v>-153339638086</v>
      </c>
      <c r="F7" s="7">
        <f>Table7[[#This Row],[202071777805.0000]]-Table7[[#This Row],[Column1]]</f>
        <v>48732139719</v>
      </c>
      <c r="G7" s="7">
        <v>17880236</v>
      </c>
      <c r="H7" s="7">
        <v>202071777805</v>
      </c>
      <c r="I7" s="7">
        <f>-1*Table7[[#This Row],[-138030489769.0000]]</f>
        <v>138030489769</v>
      </c>
      <c r="J7" s="7">
        <v>-138030489769</v>
      </c>
      <c r="K7" s="7">
        <f>Table7[[#This Row],[Column7]]-Table7[[#This Row],[Column2]]</f>
        <v>64041288036</v>
      </c>
    </row>
    <row r="8" spans="1:11" ht="23.1" customHeight="1" x14ac:dyDescent="0.6">
      <c r="A8" s="6" t="s">
        <v>193</v>
      </c>
      <c r="B8" s="7">
        <v>82045923</v>
      </c>
      <c r="C8" s="7">
        <v>351135622169</v>
      </c>
      <c r="D8" s="7">
        <f>-1*Table7[[#This Row],[-153339638086.0000]]</f>
        <v>249081772622</v>
      </c>
      <c r="E8" s="7">
        <v>-249081772622</v>
      </c>
      <c r="F8" s="7">
        <f>Table7[[#This Row],[202071777805.0000]]-Table7[[#This Row],[Column1]]</f>
        <v>102053849547</v>
      </c>
      <c r="G8" s="7">
        <v>82045923</v>
      </c>
      <c r="H8" s="7">
        <v>351135622169</v>
      </c>
      <c r="I8" s="7">
        <f>-1*Table7[[#This Row],[-138030489769.0000]]</f>
        <v>249081772622</v>
      </c>
      <c r="J8" s="7">
        <v>-249081772622</v>
      </c>
      <c r="K8" s="7">
        <f>Table7[[#This Row],[Column7]]-Table7[[#This Row],[Column2]]</f>
        <v>102053849547</v>
      </c>
    </row>
    <row r="9" spans="1:11" ht="23.1" customHeight="1" x14ac:dyDescent="0.6">
      <c r="A9" s="6" t="s">
        <v>194</v>
      </c>
      <c r="B9" s="7">
        <v>22701575</v>
      </c>
      <c r="C9" s="7">
        <v>350472771859</v>
      </c>
      <c r="D9" s="7">
        <f>-1*Table7[[#This Row],[-153339638086.0000]]</f>
        <v>313987102677</v>
      </c>
      <c r="E9" s="7">
        <v>-313987102677</v>
      </c>
      <c r="F9" s="7">
        <f>Table7[[#This Row],[202071777805.0000]]-Table7[[#This Row],[Column1]]</f>
        <v>36485669182</v>
      </c>
      <c r="G9" s="7">
        <v>22701575</v>
      </c>
      <c r="H9" s="7">
        <v>350472771859</v>
      </c>
      <c r="I9" s="7">
        <f>-1*Table7[[#This Row],[-138030489769.0000]]</f>
        <v>282935973010</v>
      </c>
      <c r="J9" s="7">
        <v>-282935973010</v>
      </c>
      <c r="K9" s="7">
        <f>Table7[[#This Row],[Column7]]-Table7[[#This Row],[Column2]]</f>
        <v>67536798849</v>
      </c>
    </row>
    <row r="10" spans="1:11" ht="23.1" customHeight="1" x14ac:dyDescent="0.6">
      <c r="A10" s="6" t="s">
        <v>195</v>
      </c>
      <c r="B10" s="7">
        <v>2238831</v>
      </c>
      <c r="C10" s="7">
        <v>249618908323</v>
      </c>
      <c r="D10" s="7">
        <f>-1*Table7[[#This Row],[-153339638086.0000]]</f>
        <v>235127899447</v>
      </c>
      <c r="E10" s="7">
        <v>-235127899447</v>
      </c>
      <c r="F10" s="7">
        <f>Table7[[#This Row],[202071777805.0000]]-Table7[[#This Row],[Column1]]</f>
        <v>14491008876</v>
      </c>
      <c r="G10" s="7">
        <v>2238831</v>
      </c>
      <c r="H10" s="7">
        <v>249618908323</v>
      </c>
      <c r="I10" s="7">
        <f>-1*Table7[[#This Row],[-138030489769.0000]]</f>
        <v>217213387276</v>
      </c>
      <c r="J10" s="7">
        <v>-217213387276</v>
      </c>
      <c r="K10" s="7">
        <f>Table7[[#This Row],[Column7]]-Table7[[#This Row],[Column2]]</f>
        <v>32405521047</v>
      </c>
    </row>
    <row r="11" spans="1:11" ht="23.1" customHeight="1" x14ac:dyDescent="0.6">
      <c r="A11" s="6" t="s">
        <v>196</v>
      </c>
      <c r="B11" s="7">
        <v>14389152</v>
      </c>
      <c r="C11" s="7">
        <v>247592883733</v>
      </c>
      <c r="D11" s="7">
        <f>-1*Table7[[#This Row],[-153339638086.0000]]</f>
        <v>243628439155</v>
      </c>
      <c r="E11" s="7">
        <v>-243628439155</v>
      </c>
      <c r="F11" s="7">
        <f>Table7[[#This Row],[202071777805.0000]]-Table7[[#This Row],[Column1]]</f>
        <v>3964444578</v>
      </c>
      <c r="G11" s="7">
        <v>14389152</v>
      </c>
      <c r="H11" s="7">
        <v>247592883733</v>
      </c>
      <c r="I11" s="7">
        <f>-1*Table7[[#This Row],[-138030489769.0000]]</f>
        <v>226127888576</v>
      </c>
      <c r="J11" s="7">
        <v>-226127888576</v>
      </c>
      <c r="K11" s="7">
        <f>Table7[[#This Row],[Column7]]-Table7[[#This Row],[Column2]]</f>
        <v>21464995157</v>
      </c>
    </row>
    <row r="12" spans="1:11" ht="23.1" customHeight="1" x14ac:dyDescent="0.6">
      <c r="A12" s="6" t="s">
        <v>197</v>
      </c>
      <c r="B12" s="7">
        <v>18189890</v>
      </c>
      <c r="C12" s="7">
        <v>204480738943</v>
      </c>
      <c r="D12" s="7">
        <f>-1*Table7[[#This Row],[-153339638086.0000]]</f>
        <v>177086749851</v>
      </c>
      <c r="E12" s="7">
        <v>-177086749851</v>
      </c>
      <c r="F12" s="7">
        <f>Table7[[#This Row],[202071777805.0000]]-Table7[[#This Row],[Column1]]</f>
        <v>27393989092</v>
      </c>
      <c r="G12" s="7">
        <v>18189890</v>
      </c>
      <c r="H12" s="7">
        <v>204480738943</v>
      </c>
      <c r="I12" s="7">
        <f>-1*Table7[[#This Row],[-138030489769.0000]]</f>
        <v>125997807729</v>
      </c>
      <c r="J12" s="7">
        <v>-125997807729</v>
      </c>
      <c r="K12" s="7">
        <f>Table7[[#This Row],[Column7]]-Table7[[#This Row],[Column2]]</f>
        <v>78482931214</v>
      </c>
    </row>
    <row r="13" spans="1:11" ht="23.1" customHeight="1" x14ac:dyDescent="0.6">
      <c r="A13" s="6" t="s">
        <v>198</v>
      </c>
      <c r="B13" s="7">
        <v>1361359</v>
      </c>
      <c r="C13" s="7">
        <v>28117904674</v>
      </c>
      <c r="D13" s="7">
        <f>-1*Table7[[#This Row],[-153339638086.0000]]</f>
        <v>26530003952</v>
      </c>
      <c r="E13" s="7">
        <v>-26530003952</v>
      </c>
      <c r="F13" s="7">
        <f>Table7[[#This Row],[202071777805.0000]]-Table7[[#This Row],[Column1]]</f>
        <v>1587900722</v>
      </c>
      <c r="G13" s="7">
        <v>1361359</v>
      </c>
      <c r="H13" s="7">
        <v>28117904674</v>
      </c>
      <c r="I13" s="7">
        <f>-1*Table7[[#This Row],[-138030489769.0000]]</f>
        <v>27995743177</v>
      </c>
      <c r="J13" s="7">
        <v>-27995743177</v>
      </c>
      <c r="K13" s="7">
        <f>Table7[[#This Row],[Column7]]-Table7[[#This Row],[Column2]]</f>
        <v>122161497</v>
      </c>
    </row>
    <row r="14" spans="1:11" ht="23.1" customHeight="1" x14ac:dyDescent="0.6">
      <c r="A14" s="6" t="s">
        <v>199</v>
      </c>
      <c r="B14" s="7">
        <v>960001</v>
      </c>
      <c r="C14" s="7">
        <v>33766353257</v>
      </c>
      <c r="D14" s="7">
        <f>-1*Table7[[#This Row],[-153339638086.0000]]</f>
        <v>39857671842</v>
      </c>
      <c r="E14" s="7">
        <v>-39857671842</v>
      </c>
      <c r="F14" s="7">
        <f>Table7[[#This Row],[202071777805.0000]]-Table7[[#This Row],[Column1]]</f>
        <v>-6091318585</v>
      </c>
      <c r="G14" s="7">
        <v>960001</v>
      </c>
      <c r="H14" s="7">
        <v>33766353257</v>
      </c>
      <c r="I14" s="7">
        <f>-1*Table7[[#This Row],[-138030489769.0000]]</f>
        <v>28581014990</v>
      </c>
      <c r="J14" s="7">
        <v>-28581014990</v>
      </c>
      <c r="K14" s="7">
        <f>Table7[[#This Row],[Column7]]-Table7[[#This Row],[Column2]]</f>
        <v>5185338267</v>
      </c>
    </row>
    <row r="15" spans="1:11" ht="23.1" customHeight="1" x14ac:dyDescent="0.6">
      <c r="A15" s="6" t="s">
        <v>200</v>
      </c>
      <c r="B15" s="7">
        <v>16014337</v>
      </c>
      <c r="C15" s="7">
        <v>124976917275</v>
      </c>
      <c r="D15" s="7">
        <f>-1*Table7[[#This Row],[-153339638086.0000]]</f>
        <v>119298334744</v>
      </c>
      <c r="E15" s="7">
        <v>-119298334744</v>
      </c>
      <c r="F15" s="7">
        <f>Table7[[#This Row],[202071777805.0000]]-Table7[[#This Row],[Column1]]</f>
        <v>5678582531</v>
      </c>
      <c r="G15" s="7">
        <v>16014337</v>
      </c>
      <c r="H15" s="7">
        <v>124976917275</v>
      </c>
      <c r="I15" s="7">
        <f>-1*Table7[[#This Row],[-138030489769.0000]]</f>
        <v>95452127961</v>
      </c>
      <c r="J15" s="7">
        <v>-95452127961</v>
      </c>
      <c r="K15" s="7">
        <f>Table7[[#This Row],[Column7]]-Table7[[#This Row],[Column2]]</f>
        <v>29524789314</v>
      </c>
    </row>
    <row r="16" spans="1:11" ht="23.1" customHeight="1" x14ac:dyDescent="0.6">
      <c r="A16" s="6" t="s">
        <v>201</v>
      </c>
      <c r="B16" s="7">
        <v>4613619</v>
      </c>
      <c r="C16" s="7">
        <v>214831249473</v>
      </c>
      <c r="D16" s="7">
        <f>-1*Table7[[#This Row],[-153339638086.0000]]</f>
        <v>192887113261</v>
      </c>
      <c r="E16" s="7">
        <v>-192887113261</v>
      </c>
      <c r="F16" s="7">
        <f>Table7[[#This Row],[202071777805.0000]]-Table7[[#This Row],[Column1]]</f>
        <v>21944136212</v>
      </c>
      <c r="G16" s="7">
        <v>4613619</v>
      </c>
      <c r="H16" s="7">
        <v>214831249473</v>
      </c>
      <c r="I16" s="7">
        <f>-1*Table7[[#This Row],[-138030489769.0000]]</f>
        <v>137196952453</v>
      </c>
      <c r="J16" s="7">
        <v>-137196952453</v>
      </c>
      <c r="K16" s="7">
        <f>Table7[[#This Row],[Column7]]-Table7[[#This Row],[Column2]]</f>
        <v>77634297020</v>
      </c>
    </row>
    <row r="17" spans="1:11" ht="23.1" customHeight="1" x14ac:dyDescent="0.6">
      <c r="A17" s="6" t="s">
        <v>202</v>
      </c>
      <c r="B17" s="7">
        <v>15194377</v>
      </c>
      <c r="C17" s="7">
        <v>473704273337</v>
      </c>
      <c r="D17" s="7">
        <f>-1*Table7[[#This Row],[-153339638086.0000]]</f>
        <v>464484528421</v>
      </c>
      <c r="E17" s="7">
        <v>-464484528421</v>
      </c>
      <c r="F17" s="7">
        <f>Table7[[#This Row],[202071777805.0000]]-Table7[[#This Row],[Column1]]</f>
        <v>9219744916</v>
      </c>
      <c r="G17" s="7">
        <v>15194377</v>
      </c>
      <c r="H17" s="7">
        <v>473704273337</v>
      </c>
      <c r="I17" s="7">
        <f>-1*Table7[[#This Row],[-138030489769.0000]]</f>
        <v>413490853128</v>
      </c>
      <c r="J17" s="7">
        <v>-413490853128</v>
      </c>
      <c r="K17" s="7">
        <f>Table7[[#This Row],[Column7]]-Table7[[#This Row],[Column2]]</f>
        <v>60213420209</v>
      </c>
    </row>
    <row r="18" spans="1:11" ht="23.1" customHeight="1" x14ac:dyDescent="0.6">
      <c r="A18" s="6" t="s">
        <v>203</v>
      </c>
      <c r="B18" s="7">
        <v>519680</v>
      </c>
      <c r="C18" s="7">
        <v>12203198519</v>
      </c>
      <c r="D18" s="7">
        <f>-1*Table7[[#This Row],[-153339638086.0000]]</f>
        <v>14365920749</v>
      </c>
      <c r="E18" s="7">
        <v>-14365920749</v>
      </c>
      <c r="F18" s="7">
        <f>Table7[[#This Row],[202071777805.0000]]-Table7[[#This Row],[Column1]]</f>
        <v>-2162722230</v>
      </c>
      <c r="G18" s="7">
        <v>519680</v>
      </c>
      <c r="H18" s="7">
        <v>12203198519</v>
      </c>
      <c r="I18" s="7">
        <f>-1*Table7[[#This Row],[-138030489769.0000]]</f>
        <v>12428888968</v>
      </c>
      <c r="J18" s="7">
        <v>-12428888968</v>
      </c>
      <c r="K18" s="7">
        <f>Table7[[#This Row],[Column7]]-Table7[[#This Row],[Column2]]</f>
        <v>-225690449</v>
      </c>
    </row>
    <row r="19" spans="1:11" ht="23.1" customHeight="1" x14ac:dyDescent="0.6">
      <c r="A19" s="6" t="s">
        <v>204</v>
      </c>
      <c r="B19" s="7">
        <v>5982345</v>
      </c>
      <c r="C19" s="7">
        <v>188778874039</v>
      </c>
      <c r="D19" s="7">
        <f>-1*Table7[[#This Row],[-153339638086.0000]]</f>
        <v>171937117926</v>
      </c>
      <c r="E19" s="7">
        <v>-171937117926</v>
      </c>
      <c r="F19" s="7">
        <f>Table7[[#This Row],[202071777805.0000]]-Table7[[#This Row],[Column1]]</f>
        <v>16841756113</v>
      </c>
      <c r="G19" s="7">
        <v>5982345</v>
      </c>
      <c r="H19" s="7">
        <v>188778874039</v>
      </c>
      <c r="I19" s="7">
        <f>-1*Table7[[#This Row],[-138030489769.0000]]</f>
        <v>145403969497</v>
      </c>
      <c r="J19" s="7">
        <v>-145403969497</v>
      </c>
      <c r="K19" s="7">
        <f>Table7[[#This Row],[Column7]]-Table7[[#This Row],[Column2]]</f>
        <v>43374904542</v>
      </c>
    </row>
    <row r="20" spans="1:11" ht="23.1" customHeight="1" x14ac:dyDescent="0.6">
      <c r="A20" s="6" t="s">
        <v>205</v>
      </c>
      <c r="B20" s="7">
        <v>21314581</v>
      </c>
      <c r="C20" s="7">
        <v>109899650703</v>
      </c>
      <c r="D20" s="7">
        <f>-1*Table7[[#This Row],[-153339638086.0000]]</f>
        <v>106892844690</v>
      </c>
      <c r="E20" s="7">
        <v>-106892844690</v>
      </c>
      <c r="F20" s="7">
        <f>Table7[[#This Row],[202071777805.0000]]-Table7[[#This Row],[Column1]]</f>
        <v>3006806013</v>
      </c>
      <c r="G20" s="7">
        <v>21314581</v>
      </c>
      <c r="H20" s="7">
        <v>109899650703</v>
      </c>
      <c r="I20" s="7">
        <f>-1*Table7[[#This Row],[-138030489769.0000]]</f>
        <v>86659334003</v>
      </c>
      <c r="J20" s="7">
        <v>-86659334003</v>
      </c>
      <c r="K20" s="7">
        <f>Table7[[#This Row],[Column7]]-Table7[[#This Row],[Column2]]</f>
        <v>23240316700</v>
      </c>
    </row>
    <row r="21" spans="1:11" ht="23.1" customHeight="1" x14ac:dyDescent="0.6">
      <c r="A21" s="6" t="s">
        <v>206</v>
      </c>
      <c r="B21" s="7">
        <v>9440967</v>
      </c>
      <c r="C21" s="7">
        <v>210184882759</v>
      </c>
      <c r="D21" s="7">
        <f>-1*Table7[[#This Row],[-153339638086.0000]]</f>
        <v>195548696693</v>
      </c>
      <c r="E21" s="7">
        <v>-195548696693</v>
      </c>
      <c r="F21" s="7">
        <f>Table7[[#This Row],[202071777805.0000]]-Table7[[#This Row],[Column1]]</f>
        <v>14636186066</v>
      </c>
      <c r="G21" s="7">
        <v>9440967</v>
      </c>
      <c r="H21" s="7">
        <v>210184882759</v>
      </c>
      <c r="I21" s="7">
        <f>-1*Table7[[#This Row],[-138030489769.0000]]</f>
        <v>167661264103</v>
      </c>
      <c r="J21" s="7">
        <v>-167661264103</v>
      </c>
      <c r="K21" s="7">
        <f>Table7[[#This Row],[Column7]]-Table7[[#This Row],[Column2]]</f>
        <v>42523618656</v>
      </c>
    </row>
    <row r="22" spans="1:11" ht="23.1" customHeight="1" x14ac:dyDescent="0.6">
      <c r="A22" s="6" t="s">
        <v>207</v>
      </c>
      <c r="B22" s="7">
        <v>3775039</v>
      </c>
      <c r="C22" s="7">
        <v>66805130178</v>
      </c>
      <c r="D22" s="7">
        <f>-1*Table7[[#This Row],[-153339638086.0000]]</f>
        <v>72959134343</v>
      </c>
      <c r="E22" s="7">
        <v>-72959134343</v>
      </c>
      <c r="F22" s="7">
        <f>Table7[[#This Row],[202071777805.0000]]-Table7[[#This Row],[Column1]]</f>
        <v>-6154004165</v>
      </c>
      <c r="G22" s="7">
        <v>3775039</v>
      </c>
      <c r="H22" s="7">
        <v>66805130178</v>
      </c>
      <c r="I22" s="7">
        <f>-1*Table7[[#This Row],[-138030489769.0000]]</f>
        <v>62584881291</v>
      </c>
      <c r="J22" s="7">
        <v>-62584881291</v>
      </c>
      <c r="K22" s="7">
        <f>Table7[[#This Row],[Column7]]-Table7[[#This Row],[Column2]]</f>
        <v>4220248887</v>
      </c>
    </row>
    <row r="23" spans="1:11" ht="23.1" customHeight="1" x14ac:dyDescent="0.6">
      <c r="A23" s="6" t="s">
        <v>208</v>
      </c>
      <c r="B23" s="7">
        <v>241405</v>
      </c>
      <c r="C23" s="7">
        <v>6949592345</v>
      </c>
      <c r="D23" s="7">
        <f>-1*Table7[[#This Row],[-153339638086.0000]]</f>
        <v>10159590804</v>
      </c>
      <c r="E23" s="7">
        <v>-10159590804</v>
      </c>
      <c r="F23" s="7">
        <f>Table7[[#This Row],[202071777805.0000]]-Table7[[#This Row],[Column1]]</f>
        <v>-3209998459</v>
      </c>
      <c r="G23" s="7">
        <v>241405</v>
      </c>
      <c r="H23" s="7">
        <v>6949592345</v>
      </c>
      <c r="I23" s="7">
        <f>-1*Table7[[#This Row],[-138030489769.0000]]</f>
        <v>7000553228</v>
      </c>
      <c r="J23" s="7">
        <v>-7000553228</v>
      </c>
      <c r="K23" s="7">
        <f>Table7[[#This Row],[Column7]]-Table7[[#This Row],[Column2]]</f>
        <v>-50960883</v>
      </c>
    </row>
    <row r="24" spans="1:11" ht="23.1" customHeight="1" x14ac:dyDescent="0.6">
      <c r="A24" s="6" t="s">
        <v>209</v>
      </c>
      <c r="B24" s="7">
        <v>2697990</v>
      </c>
      <c r="C24" s="7">
        <v>126439563847</v>
      </c>
      <c r="D24" s="7">
        <f>-1*Table7[[#This Row],[-153339638086.0000]]</f>
        <v>125569056669</v>
      </c>
      <c r="E24" s="7">
        <v>-125569056669</v>
      </c>
      <c r="F24" s="7">
        <f>Table7[[#This Row],[202071777805.0000]]-Table7[[#This Row],[Column1]]</f>
        <v>870507178</v>
      </c>
      <c r="G24" s="7">
        <v>2697990</v>
      </c>
      <c r="H24" s="7">
        <v>126439563847</v>
      </c>
      <c r="I24" s="7">
        <f>-1*Table7[[#This Row],[-138030489769.0000]]</f>
        <v>132783506495</v>
      </c>
      <c r="J24" s="7">
        <v>-132783506495</v>
      </c>
      <c r="K24" s="7">
        <f>Table7[[#This Row],[Column7]]-Table7[[#This Row],[Column2]]</f>
        <v>-6343942648</v>
      </c>
    </row>
    <row r="25" spans="1:11" ht="23.1" customHeight="1" x14ac:dyDescent="0.6">
      <c r="A25" s="6" t="s">
        <v>210</v>
      </c>
      <c r="B25" s="7">
        <v>1324178</v>
      </c>
      <c r="C25" s="7">
        <v>56248025770</v>
      </c>
      <c r="D25" s="7">
        <f>-1*Table7[[#This Row],[-153339638086.0000]]</f>
        <v>63346164659</v>
      </c>
      <c r="E25" s="7">
        <v>-63346164659</v>
      </c>
      <c r="F25" s="7">
        <f>Table7[[#This Row],[202071777805.0000]]-Table7[[#This Row],[Column1]]</f>
        <v>-7098138889</v>
      </c>
      <c r="G25" s="7">
        <v>1324178</v>
      </c>
      <c r="H25" s="7">
        <v>56248025770</v>
      </c>
      <c r="I25" s="7">
        <f>-1*Table7[[#This Row],[-138030489769.0000]]</f>
        <v>52121610116</v>
      </c>
      <c r="J25" s="7">
        <v>-52121610116</v>
      </c>
      <c r="K25" s="7">
        <f>Table7[[#This Row],[Column7]]-Table7[[#This Row],[Column2]]</f>
        <v>4126415654</v>
      </c>
    </row>
    <row r="26" spans="1:11" ht="23.1" customHeight="1" x14ac:dyDescent="0.6">
      <c r="A26" s="6" t="s">
        <v>211</v>
      </c>
      <c r="B26" s="7">
        <v>3555603</v>
      </c>
      <c r="C26" s="7">
        <v>349960723062</v>
      </c>
      <c r="D26" s="7">
        <f>-1*Table7[[#This Row],[-153339638086.0000]]</f>
        <v>359789892851</v>
      </c>
      <c r="E26" s="7">
        <v>-359789892851</v>
      </c>
      <c r="F26" s="7">
        <f>Table7[[#This Row],[202071777805.0000]]-Table7[[#This Row],[Column1]]</f>
        <v>-9829169789</v>
      </c>
      <c r="G26" s="7">
        <v>3555603</v>
      </c>
      <c r="H26" s="7">
        <v>349960723062</v>
      </c>
      <c r="I26" s="7">
        <f>-1*Table7[[#This Row],[-138030489769.0000]]</f>
        <v>310051144698</v>
      </c>
      <c r="J26" s="7">
        <v>-310051144698</v>
      </c>
      <c r="K26" s="7">
        <f>Table7[[#This Row],[Column7]]-Table7[[#This Row],[Column2]]</f>
        <v>39909578364</v>
      </c>
    </row>
    <row r="27" spans="1:11" ht="23.1" customHeight="1" x14ac:dyDescent="0.6">
      <c r="A27" s="6" t="s">
        <v>212</v>
      </c>
      <c r="B27" s="7">
        <v>2643849</v>
      </c>
      <c r="C27" s="7">
        <v>48002226894</v>
      </c>
      <c r="D27" s="7">
        <f>-1*Table7[[#This Row],[-153339638086.0000]]</f>
        <v>40568247351</v>
      </c>
      <c r="E27" s="7">
        <v>-40568247351</v>
      </c>
      <c r="F27" s="7">
        <f>Table7[[#This Row],[202071777805.0000]]-Table7[[#This Row],[Column1]]</f>
        <v>7433979543</v>
      </c>
      <c r="G27" s="7">
        <v>2643849</v>
      </c>
      <c r="H27" s="7">
        <v>48002226894</v>
      </c>
      <c r="I27" s="7">
        <f>-1*Table7[[#This Row],[-138030489769.0000]]</f>
        <v>37906466581</v>
      </c>
      <c r="J27" s="7">
        <v>-37906466581</v>
      </c>
      <c r="K27" s="7">
        <f>Table7[[#This Row],[Column7]]-Table7[[#This Row],[Column2]]</f>
        <v>10095760313</v>
      </c>
    </row>
    <row r="28" spans="1:11" ht="23.1" customHeight="1" x14ac:dyDescent="0.6">
      <c r="A28" s="6" t="s">
        <v>213</v>
      </c>
      <c r="B28" s="7">
        <v>757265642</v>
      </c>
      <c r="C28" s="7">
        <v>12757795425093</v>
      </c>
      <c r="D28" s="7">
        <f>-1*Table7[[#This Row],[-153339638086.0000]]</f>
        <v>11830922462506</v>
      </c>
      <c r="E28" s="7">
        <v>-11830922462506</v>
      </c>
      <c r="F28" s="7">
        <f>Table7[[#This Row],[202071777805.0000]]-Table7[[#This Row],[Column1]]</f>
        <v>926872962587</v>
      </c>
      <c r="G28" s="7">
        <v>757265642</v>
      </c>
      <c r="H28" s="7">
        <v>12757795425093</v>
      </c>
      <c r="I28" s="7">
        <f>-1*Table7[[#This Row],[-138030489769.0000]]</f>
        <v>9917747527590</v>
      </c>
      <c r="J28" s="7">
        <v>-9917747527590</v>
      </c>
      <c r="K28" s="7">
        <f>Table7[[#This Row],[Column7]]-Table7[[#This Row],[Column2]]</f>
        <v>2840047897503</v>
      </c>
    </row>
    <row r="29" spans="1:11" ht="23.1" customHeight="1" x14ac:dyDescent="0.6">
      <c r="A29" s="6" t="s">
        <v>214</v>
      </c>
      <c r="B29" s="7">
        <v>15624566</v>
      </c>
      <c r="C29" s="7">
        <v>277905905674</v>
      </c>
      <c r="D29" s="7">
        <f>-1*Table7[[#This Row],[-153339638086.0000]]</f>
        <v>271294549563</v>
      </c>
      <c r="E29" s="7">
        <v>-271294549563</v>
      </c>
      <c r="F29" s="7">
        <f>Table7[[#This Row],[202071777805.0000]]-Table7[[#This Row],[Column1]]</f>
        <v>6611356111</v>
      </c>
      <c r="G29" s="7">
        <v>15624566</v>
      </c>
      <c r="H29" s="7">
        <v>277905905674</v>
      </c>
      <c r="I29" s="7">
        <f>-1*Table7[[#This Row],[-138030489769.0000]]</f>
        <v>216029573722</v>
      </c>
      <c r="J29" s="7">
        <v>-216029573722</v>
      </c>
      <c r="K29" s="7">
        <f>Table7[[#This Row],[Column7]]-Table7[[#This Row],[Column2]]</f>
        <v>61876331952</v>
      </c>
    </row>
    <row r="30" spans="1:11" ht="23.1" customHeight="1" x14ac:dyDescent="0.6">
      <c r="A30" s="6" t="s">
        <v>215</v>
      </c>
      <c r="B30" s="7">
        <v>574805067</v>
      </c>
      <c r="C30" s="7">
        <v>6381230870309</v>
      </c>
      <c r="D30" s="7">
        <f>-1*Table7[[#This Row],[-153339638086.0000]]</f>
        <v>5451265311578</v>
      </c>
      <c r="E30" s="7">
        <v>-5451265311578</v>
      </c>
      <c r="F30" s="7">
        <f>Table7[[#This Row],[202071777805.0000]]-Table7[[#This Row],[Column1]]</f>
        <v>929965558731</v>
      </c>
      <c r="G30" s="7">
        <v>574805067</v>
      </c>
      <c r="H30" s="7">
        <v>6381230870309</v>
      </c>
      <c r="I30" s="7">
        <f>-1*Table7[[#This Row],[-138030489769.0000]]</f>
        <v>4950504182408</v>
      </c>
      <c r="J30" s="7">
        <v>-4950504182408</v>
      </c>
      <c r="K30" s="7">
        <f>Table7[[#This Row],[Column7]]-Table7[[#This Row],[Column2]]</f>
        <v>1430726687901</v>
      </c>
    </row>
    <row r="31" spans="1:11" ht="23.1" customHeight="1" x14ac:dyDescent="0.6">
      <c r="A31" s="6" t="s">
        <v>216</v>
      </c>
      <c r="B31" s="7">
        <v>1352910746</v>
      </c>
      <c r="C31" s="7">
        <v>6786450319845</v>
      </c>
      <c r="D31" s="7">
        <f>-1*Table7[[#This Row],[-153339638086.0000]]</f>
        <v>6050525439493</v>
      </c>
      <c r="E31" s="7">
        <v>-6050525439493</v>
      </c>
      <c r="F31" s="7">
        <f>Table7[[#This Row],[202071777805.0000]]-Table7[[#This Row],[Column1]]</f>
        <v>735924880352</v>
      </c>
      <c r="G31" s="7">
        <v>1352910746</v>
      </c>
      <c r="H31" s="7">
        <v>6786450319845</v>
      </c>
      <c r="I31" s="7">
        <f>-1*Table7[[#This Row],[-138030489769.0000]]</f>
        <v>4236042340498</v>
      </c>
      <c r="J31" s="7">
        <v>-4236042340498</v>
      </c>
      <c r="K31" s="7">
        <f>Table7[[#This Row],[Column7]]-Table7[[#This Row],[Column2]]</f>
        <v>2550407979347</v>
      </c>
    </row>
    <row r="32" spans="1:11" ht="23.1" customHeight="1" x14ac:dyDescent="0.6">
      <c r="A32" s="6" t="s">
        <v>217</v>
      </c>
      <c r="B32" s="7">
        <v>28014081</v>
      </c>
      <c r="C32" s="7">
        <v>497431883605</v>
      </c>
      <c r="D32" s="7">
        <f>-1*Table7[[#This Row],[-153339638086.0000]]</f>
        <v>454535271098</v>
      </c>
      <c r="E32" s="7">
        <v>-454535271098</v>
      </c>
      <c r="F32" s="7">
        <f>Table7[[#This Row],[202071777805.0000]]-Table7[[#This Row],[Column1]]</f>
        <v>42896612507</v>
      </c>
      <c r="G32" s="7">
        <v>28014081</v>
      </c>
      <c r="H32" s="7">
        <v>497431883605</v>
      </c>
      <c r="I32" s="7">
        <f>-1*Table7[[#This Row],[-138030489769.0000]]</f>
        <v>362155730393</v>
      </c>
      <c r="J32" s="7">
        <v>-362155730393</v>
      </c>
      <c r="K32" s="7">
        <f>Table7[[#This Row],[Column7]]-Table7[[#This Row],[Column2]]</f>
        <v>135276153212</v>
      </c>
    </row>
    <row r="33" spans="1:11" ht="23.1" customHeight="1" x14ac:dyDescent="0.6">
      <c r="A33" s="6" t="s">
        <v>218</v>
      </c>
      <c r="B33" s="7">
        <v>11264130</v>
      </c>
      <c r="C33" s="7">
        <v>353312319114</v>
      </c>
      <c r="D33" s="7">
        <f>-1*Table7[[#This Row],[-153339638086.0000]]</f>
        <v>339910994479</v>
      </c>
      <c r="E33" s="7">
        <v>-339910994479</v>
      </c>
      <c r="F33" s="7">
        <f>Table7[[#This Row],[202071777805.0000]]-Table7[[#This Row],[Column1]]</f>
        <v>13401324635</v>
      </c>
      <c r="G33" s="7">
        <v>11264130</v>
      </c>
      <c r="H33" s="7">
        <v>353312319114</v>
      </c>
      <c r="I33" s="7">
        <f>-1*Table7[[#This Row],[-138030489769.0000]]</f>
        <v>296057786620</v>
      </c>
      <c r="J33" s="7">
        <v>-296057786620</v>
      </c>
      <c r="K33" s="7">
        <f>Table7[[#This Row],[Column7]]-Table7[[#This Row],[Column2]]</f>
        <v>57254532494</v>
      </c>
    </row>
    <row r="34" spans="1:11" ht="23.1" customHeight="1" x14ac:dyDescent="0.6">
      <c r="A34" s="6" t="s">
        <v>219</v>
      </c>
      <c r="B34" s="7">
        <v>2949646</v>
      </c>
      <c r="C34" s="7">
        <v>98885413232</v>
      </c>
      <c r="D34" s="7">
        <f>-1*Table7[[#This Row],[-153339638086.0000]]</f>
        <v>84179105435</v>
      </c>
      <c r="E34" s="7">
        <v>-84179105435</v>
      </c>
      <c r="F34" s="7">
        <f>Table7[[#This Row],[202071777805.0000]]-Table7[[#This Row],[Column1]]</f>
        <v>14706307797</v>
      </c>
      <c r="G34" s="7">
        <v>2949646</v>
      </c>
      <c r="H34" s="7">
        <v>98885413232</v>
      </c>
      <c r="I34" s="7">
        <f>-1*Table7[[#This Row],[-138030489769.0000]]</f>
        <v>63736249097</v>
      </c>
      <c r="J34" s="7">
        <v>-63736249097</v>
      </c>
      <c r="K34" s="7">
        <f>Table7[[#This Row],[Column7]]-Table7[[#This Row],[Column2]]</f>
        <v>35149164135</v>
      </c>
    </row>
    <row r="35" spans="1:11" ht="23.1" customHeight="1" x14ac:dyDescent="0.6">
      <c r="A35" s="6" t="s">
        <v>220</v>
      </c>
      <c r="B35" s="7">
        <v>6738635</v>
      </c>
      <c r="C35" s="7">
        <v>217492490492</v>
      </c>
      <c r="D35" s="7">
        <f>-1*Table7[[#This Row],[-153339638086.0000]]</f>
        <v>184699668658</v>
      </c>
      <c r="E35" s="7">
        <v>-184699668658</v>
      </c>
      <c r="F35" s="7">
        <f>Table7[[#This Row],[202071777805.0000]]-Table7[[#This Row],[Column1]]</f>
        <v>32792821834</v>
      </c>
      <c r="G35" s="7">
        <v>6738635</v>
      </c>
      <c r="H35" s="7">
        <v>217492490492</v>
      </c>
      <c r="I35" s="7">
        <f>-1*Table7[[#This Row],[-138030489769.0000]]</f>
        <v>166646333710</v>
      </c>
      <c r="J35" s="7">
        <v>-166646333710</v>
      </c>
      <c r="K35" s="7">
        <f>Table7[[#This Row],[Column7]]-Table7[[#This Row],[Column2]]</f>
        <v>50846156782</v>
      </c>
    </row>
    <row r="36" spans="1:11" ht="23.1" customHeight="1" x14ac:dyDescent="0.6">
      <c r="A36" s="6" t="s">
        <v>221</v>
      </c>
      <c r="B36" s="7">
        <v>5215794</v>
      </c>
      <c r="C36" s="7">
        <v>226766723154</v>
      </c>
      <c r="D36" s="7">
        <f>-1*Table7[[#This Row],[-153339638086.0000]]</f>
        <v>218762020038</v>
      </c>
      <c r="E36" s="7">
        <v>-218762020038</v>
      </c>
      <c r="F36" s="7">
        <f>Table7[[#This Row],[202071777805.0000]]-Table7[[#This Row],[Column1]]</f>
        <v>8004703116</v>
      </c>
      <c r="G36" s="7">
        <v>5215794</v>
      </c>
      <c r="H36" s="7">
        <v>226766723154</v>
      </c>
      <c r="I36" s="7">
        <f>-1*Table7[[#This Row],[-138030489769.0000]]</f>
        <v>188682162416</v>
      </c>
      <c r="J36" s="7">
        <v>-188682162416</v>
      </c>
      <c r="K36" s="7">
        <f>Table7[[#This Row],[Column7]]-Table7[[#This Row],[Column2]]</f>
        <v>38084560738</v>
      </c>
    </row>
    <row r="37" spans="1:11" ht="23.1" customHeight="1" x14ac:dyDescent="0.6">
      <c r="A37" s="6" t="s">
        <v>222</v>
      </c>
      <c r="B37" s="7">
        <v>8164092</v>
      </c>
      <c r="C37" s="7">
        <v>153368281056</v>
      </c>
      <c r="D37" s="7">
        <f>-1*Table7[[#This Row],[-153339638086.0000]]</f>
        <v>138681014761</v>
      </c>
      <c r="E37" s="7">
        <v>-138681014761</v>
      </c>
      <c r="F37" s="7">
        <f>Table7[[#This Row],[202071777805.0000]]-Table7[[#This Row],[Column1]]</f>
        <v>14687266295</v>
      </c>
      <c r="G37" s="7">
        <v>8164092</v>
      </c>
      <c r="H37" s="7">
        <v>153368281056</v>
      </c>
      <c r="I37" s="7">
        <f>-1*Table7[[#This Row],[-138030489769.0000]]</f>
        <v>119444708306</v>
      </c>
      <c r="J37" s="7">
        <v>-119444708306</v>
      </c>
      <c r="K37" s="7">
        <f>Table7[[#This Row],[Column7]]-Table7[[#This Row],[Column2]]</f>
        <v>33923572750</v>
      </c>
    </row>
    <row r="38" spans="1:11" ht="23.1" customHeight="1" x14ac:dyDescent="0.6">
      <c r="A38" s="6" t="s">
        <v>223</v>
      </c>
      <c r="B38" s="7">
        <v>139788755</v>
      </c>
      <c r="C38" s="7">
        <v>2877459820255</v>
      </c>
      <c r="D38" s="7">
        <f>-1*Table7[[#This Row],[-153339638086.0000]]</f>
        <v>2776023972501</v>
      </c>
      <c r="E38" s="7">
        <v>-2776023972501</v>
      </c>
      <c r="F38" s="7">
        <f>Table7[[#This Row],[202071777805.0000]]-Table7[[#This Row],[Column1]]</f>
        <v>101435847754</v>
      </c>
      <c r="G38" s="7">
        <v>139788755</v>
      </c>
      <c r="H38" s="7">
        <v>2877459820255</v>
      </c>
      <c r="I38" s="7">
        <f>-1*Table7[[#This Row],[-138030489769.0000]]</f>
        <v>2225546156871</v>
      </c>
      <c r="J38" s="7">
        <v>-2225546156871</v>
      </c>
      <c r="K38" s="7">
        <f>Table7[[#This Row],[Column7]]-Table7[[#This Row],[Column2]]</f>
        <v>651913663384</v>
      </c>
    </row>
    <row r="39" spans="1:11" ht="23.1" customHeight="1" x14ac:dyDescent="0.6">
      <c r="A39" s="6" t="s">
        <v>224</v>
      </c>
      <c r="B39" s="7">
        <v>18576257</v>
      </c>
      <c r="C39" s="7">
        <v>843649219582</v>
      </c>
      <c r="D39" s="7">
        <f>-1*Table7[[#This Row],[-153339638086.0000]]</f>
        <v>776695061249</v>
      </c>
      <c r="E39" s="7">
        <v>-776695061249</v>
      </c>
      <c r="F39" s="7">
        <f>Table7[[#This Row],[202071777805.0000]]-Table7[[#This Row],[Column1]]</f>
        <v>66954158333</v>
      </c>
      <c r="G39" s="7">
        <v>18576257</v>
      </c>
      <c r="H39" s="7">
        <v>843649219582</v>
      </c>
      <c r="I39" s="7">
        <f>-1*Table7[[#This Row],[-138030489769.0000]]</f>
        <v>645014459855</v>
      </c>
      <c r="J39" s="7">
        <v>-645014459855</v>
      </c>
      <c r="K39" s="7">
        <f>Table7[[#This Row],[Column7]]-Table7[[#This Row],[Column2]]</f>
        <v>198634759727</v>
      </c>
    </row>
    <row r="40" spans="1:11" ht="23.1" customHeight="1" x14ac:dyDescent="0.6">
      <c r="A40" s="6" t="s">
        <v>225</v>
      </c>
      <c r="B40" s="7">
        <v>8592091</v>
      </c>
      <c r="C40" s="7">
        <v>462332460437</v>
      </c>
      <c r="D40" s="7">
        <f>-1*Table7[[#This Row],[-153339638086.0000]]</f>
        <v>438740714461</v>
      </c>
      <c r="E40" s="7">
        <v>-438740714461</v>
      </c>
      <c r="F40" s="7">
        <f>Table7[[#This Row],[202071777805.0000]]-Table7[[#This Row],[Column1]]</f>
        <v>23591745976</v>
      </c>
      <c r="G40" s="7">
        <v>8592091</v>
      </c>
      <c r="H40" s="7">
        <v>462332460437</v>
      </c>
      <c r="I40" s="7">
        <f>-1*Table7[[#This Row],[-138030489769.0000]]</f>
        <v>353587308367</v>
      </c>
      <c r="J40" s="7">
        <v>-353587308367</v>
      </c>
      <c r="K40" s="7">
        <f>Table7[[#This Row],[Column7]]-Table7[[#This Row],[Column2]]</f>
        <v>108745152070</v>
      </c>
    </row>
    <row r="41" spans="1:11" ht="23.1" customHeight="1" x14ac:dyDescent="0.6">
      <c r="A41" s="6" t="s">
        <v>226</v>
      </c>
      <c r="B41" s="7">
        <v>24666099</v>
      </c>
      <c r="C41" s="7">
        <v>214924916110</v>
      </c>
      <c r="D41" s="7">
        <f>-1*Table7[[#This Row],[-153339638086.0000]]</f>
        <v>208568460500</v>
      </c>
      <c r="E41" s="7">
        <v>-208568460500</v>
      </c>
      <c r="F41" s="7">
        <f>Table7[[#This Row],[202071777805.0000]]-Table7[[#This Row],[Column1]]</f>
        <v>6356455610</v>
      </c>
      <c r="G41" s="7">
        <v>24666099</v>
      </c>
      <c r="H41" s="7">
        <v>214924916110</v>
      </c>
      <c r="I41" s="7">
        <f>-1*Table7[[#This Row],[-138030489769.0000]]</f>
        <v>178087195751</v>
      </c>
      <c r="J41" s="7">
        <v>-178087195751</v>
      </c>
      <c r="K41" s="7">
        <f>Table7[[#This Row],[Column7]]-Table7[[#This Row],[Column2]]</f>
        <v>36837720359</v>
      </c>
    </row>
    <row r="42" spans="1:11" ht="23.1" customHeight="1" x14ac:dyDescent="0.6">
      <c r="A42" s="6" t="s">
        <v>227</v>
      </c>
      <c r="B42" s="7">
        <v>38053178</v>
      </c>
      <c r="C42" s="7">
        <v>556675131044</v>
      </c>
      <c r="D42" s="7">
        <f>-1*Table7[[#This Row],[-153339638086.0000]]</f>
        <v>452822633610</v>
      </c>
      <c r="E42" s="7">
        <v>-452822633610</v>
      </c>
      <c r="F42" s="7">
        <f>Table7[[#This Row],[202071777805.0000]]-Table7[[#This Row],[Column1]]</f>
        <v>103852497434</v>
      </c>
      <c r="G42" s="7">
        <v>38053178</v>
      </c>
      <c r="H42" s="7">
        <v>556675131044</v>
      </c>
      <c r="I42" s="7">
        <f>-1*Table7[[#This Row],[-138030489769.0000]]</f>
        <v>429304330705</v>
      </c>
      <c r="J42" s="7">
        <v>-429304330705</v>
      </c>
      <c r="K42" s="7">
        <f>Table7[[#This Row],[Column7]]-Table7[[#This Row],[Column2]]</f>
        <v>127370800339</v>
      </c>
    </row>
    <row r="43" spans="1:11" ht="23.1" customHeight="1" x14ac:dyDescent="0.6">
      <c r="A43" s="6" t="s">
        <v>228</v>
      </c>
      <c r="B43" s="7">
        <v>11468910</v>
      </c>
      <c r="C43" s="7">
        <v>163193157272</v>
      </c>
      <c r="D43" s="7">
        <f>-1*Table7[[#This Row],[-153339638086.0000]]</f>
        <v>161288338094</v>
      </c>
      <c r="E43" s="7">
        <v>-161288338094</v>
      </c>
      <c r="F43" s="7">
        <f>Table7[[#This Row],[202071777805.0000]]-Table7[[#This Row],[Column1]]</f>
        <v>1904819178</v>
      </c>
      <c r="G43" s="7">
        <v>11468910</v>
      </c>
      <c r="H43" s="7">
        <v>163193157272</v>
      </c>
      <c r="I43" s="7">
        <f>-1*Table7[[#This Row],[-138030489769.0000]]</f>
        <v>130279999868</v>
      </c>
      <c r="J43" s="7">
        <v>-130279999868</v>
      </c>
      <c r="K43" s="7">
        <f>Table7[[#This Row],[Column7]]-Table7[[#This Row],[Column2]]</f>
        <v>32913157404</v>
      </c>
    </row>
    <row r="44" spans="1:11" ht="23.1" customHeight="1" x14ac:dyDescent="0.6">
      <c r="A44" s="6" t="s">
        <v>229</v>
      </c>
      <c r="B44" s="7">
        <v>3314339</v>
      </c>
      <c r="C44" s="7">
        <v>82331847747</v>
      </c>
      <c r="D44" s="7">
        <f>-1*Table7[[#This Row],[-153339638086.0000]]</f>
        <v>90063400904</v>
      </c>
      <c r="E44" s="7">
        <v>-90063400904</v>
      </c>
      <c r="F44" s="7">
        <f>Table7[[#This Row],[202071777805.0000]]-Table7[[#This Row],[Column1]]</f>
        <v>-7731553157</v>
      </c>
      <c r="G44" s="7">
        <v>3314339</v>
      </c>
      <c r="H44" s="7">
        <v>82331847747</v>
      </c>
      <c r="I44" s="7">
        <f>-1*Table7[[#This Row],[-138030489769.0000]]</f>
        <v>73744223823</v>
      </c>
      <c r="J44" s="7">
        <v>-73744223823</v>
      </c>
      <c r="K44" s="7">
        <f>Table7[[#This Row],[Column7]]-Table7[[#This Row],[Column2]]</f>
        <v>8587623924</v>
      </c>
    </row>
    <row r="45" spans="1:11" ht="23.1" customHeight="1" x14ac:dyDescent="0.6">
      <c r="A45" s="6" t="s">
        <v>230</v>
      </c>
      <c r="B45" s="7">
        <v>11274568</v>
      </c>
      <c r="C45" s="7">
        <v>152541630909</v>
      </c>
      <c r="D45" s="7">
        <f>-1*Table7[[#This Row],[-153339638086.0000]]</f>
        <v>149268846548</v>
      </c>
      <c r="E45" s="7">
        <v>-149268846548</v>
      </c>
      <c r="F45" s="7">
        <f>Table7[[#This Row],[202071777805.0000]]-Table7[[#This Row],[Column1]]</f>
        <v>3272784361</v>
      </c>
      <c r="G45" s="7">
        <v>11274568</v>
      </c>
      <c r="H45" s="7">
        <v>152541630909</v>
      </c>
      <c r="I45" s="7">
        <f>-1*Table7[[#This Row],[-138030489769.0000]]</f>
        <v>121042942049</v>
      </c>
      <c r="J45" s="7">
        <v>-121042942049</v>
      </c>
      <c r="K45" s="7">
        <f>Table7[[#This Row],[Column7]]-Table7[[#This Row],[Column2]]</f>
        <v>31498688860</v>
      </c>
    </row>
    <row r="46" spans="1:11" ht="23.1" customHeight="1" x14ac:dyDescent="0.6">
      <c r="A46" s="6" t="s">
        <v>231</v>
      </c>
      <c r="B46" s="7">
        <v>3996921</v>
      </c>
      <c r="C46" s="7">
        <v>143380411909</v>
      </c>
      <c r="D46" s="7">
        <f>-1*Table7[[#This Row],[-153339638086.0000]]</f>
        <v>129880846946</v>
      </c>
      <c r="E46" s="7">
        <v>-129880846946</v>
      </c>
      <c r="F46" s="7">
        <f>Table7[[#This Row],[202071777805.0000]]-Table7[[#This Row],[Column1]]</f>
        <v>13499564963</v>
      </c>
      <c r="G46" s="7">
        <v>3996921</v>
      </c>
      <c r="H46" s="7">
        <v>143380411909</v>
      </c>
      <c r="I46" s="7">
        <f>-1*Table7[[#This Row],[-138030489769.0000]]</f>
        <v>106406330413</v>
      </c>
      <c r="J46" s="7">
        <v>-106406330413</v>
      </c>
      <c r="K46" s="7">
        <f>Table7[[#This Row],[Column7]]-Table7[[#This Row],[Column2]]</f>
        <v>36974081496</v>
      </c>
    </row>
    <row r="47" spans="1:11" ht="23.1" customHeight="1" x14ac:dyDescent="0.6">
      <c r="A47" s="6" t="s">
        <v>232</v>
      </c>
      <c r="B47" s="7">
        <v>1080409</v>
      </c>
      <c r="C47" s="7">
        <v>58189787227</v>
      </c>
      <c r="D47" s="7">
        <f>-1*Table7[[#This Row],[-153339638086.0000]]</f>
        <v>64844265727</v>
      </c>
      <c r="E47" s="7">
        <v>-64844265727</v>
      </c>
      <c r="F47" s="7">
        <f>Table7[[#This Row],[202071777805.0000]]-Table7[[#This Row],[Column1]]</f>
        <v>-6654478500</v>
      </c>
      <c r="G47" s="7">
        <v>1080409</v>
      </c>
      <c r="H47" s="7">
        <v>58189787227</v>
      </c>
      <c r="I47" s="7">
        <f>-1*Table7[[#This Row],[-138030489769.0000]]</f>
        <v>54323520743</v>
      </c>
      <c r="J47" s="7">
        <v>-54323520743</v>
      </c>
      <c r="K47" s="7">
        <f>Table7[[#This Row],[Column7]]-Table7[[#This Row],[Column2]]</f>
        <v>3866266484</v>
      </c>
    </row>
    <row r="48" spans="1:11" ht="23.1" customHeight="1" x14ac:dyDescent="0.6">
      <c r="A48" s="6" t="s">
        <v>233</v>
      </c>
      <c r="B48" s="7">
        <v>6213336</v>
      </c>
      <c r="C48" s="7">
        <v>152545642659</v>
      </c>
      <c r="D48" s="7">
        <f>-1*Table7[[#This Row],[-153339638086.0000]]</f>
        <v>152318259949</v>
      </c>
      <c r="E48" s="7">
        <v>-152318259949</v>
      </c>
      <c r="F48" s="7">
        <f>Table7[[#This Row],[202071777805.0000]]-Table7[[#This Row],[Column1]]</f>
        <v>227382710</v>
      </c>
      <c r="G48" s="7">
        <v>6213336</v>
      </c>
      <c r="H48" s="7">
        <v>152545642659</v>
      </c>
      <c r="I48" s="7">
        <f>-1*Table7[[#This Row],[-138030489769.0000]]</f>
        <v>126716794728</v>
      </c>
      <c r="J48" s="7">
        <v>-126716794728</v>
      </c>
      <c r="K48" s="7">
        <f>Table7[[#This Row],[Column7]]-Table7[[#This Row],[Column2]]</f>
        <v>25828847931</v>
      </c>
    </row>
    <row r="49" spans="1:11" ht="23.1" customHeight="1" x14ac:dyDescent="0.6">
      <c r="A49" s="6" t="s">
        <v>234</v>
      </c>
      <c r="B49" s="7">
        <v>15489872</v>
      </c>
      <c r="C49" s="7">
        <v>36249709495</v>
      </c>
      <c r="D49" s="7">
        <f>-1*Table7[[#This Row],[-153339638086.0000]]</f>
        <v>45072725813</v>
      </c>
      <c r="E49" s="7">
        <v>-45072725813</v>
      </c>
      <c r="F49" s="7">
        <f>Table7[[#This Row],[202071777805.0000]]-Table7[[#This Row],[Column1]]</f>
        <v>-8823016318</v>
      </c>
      <c r="G49" s="7">
        <v>15489872</v>
      </c>
      <c r="H49" s="7">
        <v>36249709495</v>
      </c>
      <c r="I49" s="7">
        <f>-1*Table7[[#This Row],[-138030489769.0000]]</f>
        <v>36281036314</v>
      </c>
      <c r="J49" s="7">
        <v>-36281036314</v>
      </c>
      <c r="K49" s="7">
        <f>Table7[[#This Row],[Column7]]-Table7[[#This Row],[Column2]]</f>
        <v>-31326819</v>
      </c>
    </row>
    <row r="50" spans="1:11" ht="23.1" customHeight="1" x14ac:dyDescent="0.6">
      <c r="A50" s="6" t="s">
        <v>235</v>
      </c>
      <c r="B50" s="7">
        <v>78740779</v>
      </c>
      <c r="C50" s="7">
        <v>1807301100106</v>
      </c>
      <c r="D50" s="7">
        <f>-1*Table7[[#This Row],[-153339638086.0000]]</f>
        <v>1507546819561</v>
      </c>
      <c r="E50" s="7">
        <v>-1507546819561</v>
      </c>
      <c r="F50" s="7">
        <f>Table7[[#This Row],[202071777805.0000]]-Table7[[#This Row],[Column1]]</f>
        <v>299754280545</v>
      </c>
      <c r="G50" s="7">
        <v>78740779</v>
      </c>
      <c r="H50" s="7">
        <v>1807301100106</v>
      </c>
      <c r="I50" s="7">
        <f>-1*Table7[[#This Row],[-138030489769.0000]]</f>
        <v>1348621497633</v>
      </c>
      <c r="J50" s="7">
        <v>-1348621497633</v>
      </c>
      <c r="K50" s="7">
        <f>Table7[[#This Row],[Column7]]-Table7[[#This Row],[Column2]]</f>
        <v>458679602473</v>
      </c>
    </row>
    <row r="51" spans="1:11" ht="23.1" customHeight="1" x14ac:dyDescent="0.6">
      <c r="A51" s="6" t="s">
        <v>236</v>
      </c>
      <c r="B51" s="7">
        <v>1816935</v>
      </c>
      <c r="C51" s="7">
        <v>46405563550</v>
      </c>
      <c r="D51" s="7">
        <f>-1*Table7[[#This Row],[-153339638086.0000]]</f>
        <v>48191429061</v>
      </c>
      <c r="E51" s="7">
        <v>-48191429061</v>
      </c>
      <c r="F51" s="7">
        <f>Table7[[#This Row],[202071777805.0000]]-Table7[[#This Row],[Column1]]</f>
        <v>-1785865511</v>
      </c>
      <c r="G51" s="7">
        <v>1816935</v>
      </c>
      <c r="H51" s="7">
        <v>46405563550</v>
      </c>
      <c r="I51" s="7">
        <f>-1*Table7[[#This Row],[-138030489769.0000]]</f>
        <v>42689665973</v>
      </c>
      <c r="J51" s="7">
        <v>-42689665973</v>
      </c>
      <c r="K51" s="7">
        <f>Table7[[#This Row],[Column7]]-Table7[[#This Row],[Column2]]</f>
        <v>3715897577</v>
      </c>
    </row>
    <row r="52" spans="1:11" ht="23.1" customHeight="1" x14ac:dyDescent="0.6">
      <c r="A52" s="6" t="s">
        <v>237</v>
      </c>
      <c r="B52" s="7">
        <v>13747634</v>
      </c>
      <c r="C52" s="7">
        <v>164563415103</v>
      </c>
      <c r="D52" s="7">
        <f>-1*Table7[[#This Row],[-153339638086.0000]]</f>
        <v>143522628040</v>
      </c>
      <c r="E52" s="7">
        <v>-143522628040</v>
      </c>
      <c r="F52" s="7">
        <f>Table7[[#This Row],[202071777805.0000]]-Table7[[#This Row],[Column1]]</f>
        <v>21040787063</v>
      </c>
      <c r="G52" s="7">
        <v>13747634</v>
      </c>
      <c r="H52" s="7">
        <v>164563415103</v>
      </c>
      <c r="I52" s="7">
        <f>-1*Table7[[#This Row],[-138030489769.0000]]</f>
        <v>111005778280</v>
      </c>
      <c r="J52" s="7">
        <v>-111005778280</v>
      </c>
      <c r="K52" s="7">
        <f>Table7[[#This Row],[Column7]]-Table7[[#This Row],[Column2]]</f>
        <v>53557636823</v>
      </c>
    </row>
    <row r="53" spans="1:11" ht="23.1" customHeight="1" x14ac:dyDescent="0.6">
      <c r="A53" s="6" t="s">
        <v>238</v>
      </c>
      <c r="B53" s="7">
        <v>19461809</v>
      </c>
      <c r="C53" s="7">
        <v>661393083040</v>
      </c>
      <c r="D53" s="7">
        <f>-1*Table7[[#This Row],[-153339638086.0000]]</f>
        <v>586883941979</v>
      </c>
      <c r="E53" s="7">
        <v>-586883941979</v>
      </c>
      <c r="F53" s="7">
        <f>Table7[[#This Row],[202071777805.0000]]-Table7[[#This Row],[Column1]]</f>
        <v>74509141061</v>
      </c>
      <c r="G53" s="7">
        <v>19461809</v>
      </c>
      <c r="H53" s="7">
        <v>661393083040</v>
      </c>
      <c r="I53" s="7">
        <f>-1*Table7[[#This Row],[-138030489769.0000]]</f>
        <v>545238604009</v>
      </c>
      <c r="J53" s="7">
        <v>-545238604009</v>
      </c>
      <c r="K53" s="7">
        <f>Table7[[#This Row],[Column7]]-Table7[[#This Row],[Column2]]</f>
        <v>116154479031</v>
      </c>
    </row>
    <row r="54" spans="1:11" ht="23.1" customHeight="1" x14ac:dyDescent="0.6">
      <c r="A54" s="6" t="s">
        <v>239</v>
      </c>
      <c r="B54" s="7">
        <v>469064</v>
      </c>
      <c r="C54" s="7">
        <v>48370615175</v>
      </c>
      <c r="D54" s="7">
        <f>-1*Table7[[#This Row],[-153339638086.0000]]</f>
        <v>46509926843</v>
      </c>
      <c r="E54" s="7">
        <v>-46509926843</v>
      </c>
      <c r="F54" s="7">
        <f>Table7[[#This Row],[202071777805.0000]]-Table7[[#This Row],[Column1]]</f>
        <v>1860688332</v>
      </c>
      <c r="G54" s="7">
        <v>469064</v>
      </c>
      <c r="H54" s="7">
        <v>48370615175</v>
      </c>
      <c r="I54" s="7">
        <f>-1*Table7[[#This Row],[-138030489769.0000]]</f>
        <v>44940125792</v>
      </c>
      <c r="J54" s="7">
        <v>-44940125792</v>
      </c>
      <c r="K54" s="7">
        <f>Table7[[#This Row],[Column7]]-Table7[[#This Row],[Column2]]</f>
        <v>3430489383</v>
      </c>
    </row>
    <row r="55" spans="1:11" ht="23.1" customHeight="1" x14ac:dyDescent="0.6">
      <c r="A55" s="6" t="s">
        <v>240</v>
      </c>
      <c r="B55" s="7">
        <v>5673657</v>
      </c>
      <c r="C55" s="7">
        <v>134646944245</v>
      </c>
      <c r="D55" s="7">
        <f>-1*Table7[[#This Row],[-153339638086.0000]]</f>
        <v>141744886907</v>
      </c>
      <c r="E55" s="7">
        <v>-141744886907</v>
      </c>
      <c r="F55" s="7">
        <f>Table7[[#This Row],[202071777805.0000]]-Table7[[#This Row],[Column1]]</f>
        <v>-7097942662</v>
      </c>
      <c r="G55" s="7">
        <v>5673657</v>
      </c>
      <c r="H55" s="7">
        <v>134646944245</v>
      </c>
      <c r="I55" s="7">
        <f>-1*Table7[[#This Row],[-138030489769.0000]]</f>
        <v>122510850298</v>
      </c>
      <c r="J55" s="7">
        <v>-122510850298</v>
      </c>
      <c r="K55" s="7">
        <f>Table7[[#This Row],[Column7]]-Table7[[#This Row],[Column2]]</f>
        <v>12136093947</v>
      </c>
    </row>
    <row r="56" spans="1:11" ht="23.1" customHeight="1" x14ac:dyDescent="0.6">
      <c r="A56" s="6" t="s">
        <v>241</v>
      </c>
      <c r="B56" s="7">
        <v>911374</v>
      </c>
      <c r="C56" s="7">
        <v>11456371457</v>
      </c>
      <c r="D56" s="7">
        <f>-1*Table7[[#This Row],[-153339638086.0000]]</f>
        <v>12595143408</v>
      </c>
      <c r="E56" s="7">
        <v>-12595143408</v>
      </c>
      <c r="F56" s="7">
        <f>Table7[[#This Row],[202071777805.0000]]-Table7[[#This Row],[Column1]]</f>
        <v>-1138771951</v>
      </c>
      <c r="G56" s="7">
        <v>911374</v>
      </c>
      <c r="H56" s="7">
        <v>11456371457</v>
      </c>
      <c r="I56" s="7">
        <f>-1*Table7[[#This Row],[-138030489769.0000]]</f>
        <v>10118591958</v>
      </c>
      <c r="J56" s="7">
        <v>-10118591958</v>
      </c>
      <c r="K56" s="7">
        <f>Table7[[#This Row],[Column7]]-Table7[[#This Row],[Column2]]</f>
        <v>1337779499</v>
      </c>
    </row>
    <row r="57" spans="1:11" ht="23.1" customHeight="1" x14ac:dyDescent="0.6">
      <c r="A57" s="6" t="s">
        <v>242</v>
      </c>
      <c r="B57" s="7">
        <v>1299608</v>
      </c>
      <c r="C57" s="7">
        <v>50061812487</v>
      </c>
      <c r="D57" s="7">
        <f>-1*Table7[[#This Row],[-153339638086.0000]]</f>
        <v>50389399836</v>
      </c>
      <c r="E57" s="7">
        <v>-50389399836</v>
      </c>
      <c r="F57" s="7">
        <f>Table7[[#This Row],[202071777805.0000]]-Table7[[#This Row],[Column1]]</f>
        <v>-327587349</v>
      </c>
      <c r="G57" s="7">
        <v>1299608</v>
      </c>
      <c r="H57" s="7">
        <v>50061812487</v>
      </c>
      <c r="I57" s="7">
        <f>-1*Table7[[#This Row],[-138030489769.0000]]</f>
        <v>43921376725</v>
      </c>
      <c r="J57" s="7">
        <v>-43921376725</v>
      </c>
      <c r="K57" s="7">
        <f>Table7[[#This Row],[Column7]]-Table7[[#This Row],[Column2]]</f>
        <v>6140435762</v>
      </c>
    </row>
    <row r="58" spans="1:11" ht="23.1" customHeight="1" x14ac:dyDescent="0.6">
      <c r="A58" s="6" t="s">
        <v>243</v>
      </c>
      <c r="B58" s="7">
        <v>3628925</v>
      </c>
      <c r="C58" s="7">
        <v>125139023760</v>
      </c>
      <c r="D58" s="7">
        <f>-1*Table7[[#This Row],[-153339638086.0000]]</f>
        <v>131847996018</v>
      </c>
      <c r="E58" s="7">
        <v>-131847996018</v>
      </c>
      <c r="F58" s="7">
        <f>Table7[[#This Row],[202071777805.0000]]-Table7[[#This Row],[Column1]]</f>
        <v>-6708972258</v>
      </c>
      <c r="G58" s="7">
        <v>3628925</v>
      </c>
      <c r="H58" s="7">
        <v>125139023760</v>
      </c>
      <c r="I58" s="7">
        <f>-1*Table7[[#This Row],[-138030489769.0000]]</f>
        <v>101998830230</v>
      </c>
      <c r="J58" s="7">
        <v>-101998830230</v>
      </c>
      <c r="K58" s="7">
        <f>Table7[[#This Row],[Column7]]-Table7[[#This Row],[Column2]]</f>
        <v>23140193530</v>
      </c>
    </row>
    <row r="59" spans="1:11" ht="23.1" customHeight="1" x14ac:dyDescent="0.6">
      <c r="A59" s="6" t="s">
        <v>244</v>
      </c>
      <c r="B59" s="7">
        <v>8997016</v>
      </c>
      <c r="C59" s="7">
        <v>661344483921</v>
      </c>
      <c r="D59" s="7">
        <f>-1*Table7[[#This Row],[-153339638086.0000]]</f>
        <v>575344219463</v>
      </c>
      <c r="E59" s="7">
        <v>-575344219463</v>
      </c>
      <c r="F59" s="7">
        <f>Table7[[#This Row],[202071777805.0000]]-Table7[[#This Row],[Column1]]</f>
        <v>86000264458</v>
      </c>
      <c r="G59" s="7">
        <v>8997016</v>
      </c>
      <c r="H59" s="7">
        <v>661344483921</v>
      </c>
      <c r="I59" s="7">
        <f>-1*Table7[[#This Row],[-138030489769.0000]]</f>
        <v>454607180280</v>
      </c>
      <c r="J59" s="7">
        <v>-454607180280</v>
      </c>
      <c r="K59" s="7">
        <f>Table7[[#This Row],[Column7]]-Table7[[#This Row],[Column2]]</f>
        <v>206737303641</v>
      </c>
    </row>
    <row r="60" spans="1:11" ht="23.1" customHeight="1" x14ac:dyDescent="0.6">
      <c r="A60" s="6" t="s">
        <v>245</v>
      </c>
      <c r="B60" s="7">
        <v>107794230</v>
      </c>
      <c r="C60" s="7">
        <v>1241922892625</v>
      </c>
      <c r="D60" s="7">
        <f>-1*Table7[[#This Row],[-153339638086.0000]]</f>
        <v>1152068869875</v>
      </c>
      <c r="E60" s="7">
        <v>-1152068869875</v>
      </c>
      <c r="F60" s="7">
        <f>Table7[[#This Row],[202071777805.0000]]-Table7[[#This Row],[Column1]]</f>
        <v>89854022750</v>
      </c>
      <c r="G60" s="7">
        <v>107794230</v>
      </c>
      <c r="H60" s="7">
        <v>1241922892625</v>
      </c>
      <c r="I60" s="7">
        <f>-1*Table7[[#This Row],[-138030489769.0000]]</f>
        <v>956710453205</v>
      </c>
      <c r="J60" s="7">
        <v>-956710453205</v>
      </c>
      <c r="K60" s="7">
        <f>Table7[[#This Row],[Column7]]-Table7[[#This Row],[Column2]]</f>
        <v>285212439420</v>
      </c>
    </row>
    <row r="61" spans="1:11" ht="23.1" customHeight="1" x14ac:dyDescent="0.6">
      <c r="A61" s="6" t="s">
        <v>246</v>
      </c>
      <c r="B61" s="7">
        <v>4777968</v>
      </c>
      <c r="C61" s="7">
        <v>118325553781</v>
      </c>
      <c r="D61" s="7">
        <f>-1*Table7[[#This Row],[-153339638086.0000]]</f>
        <v>116767557779</v>
      </c>
      <c r="E61" s="7">
        <v>-116767557779</v>
      </c>
      <c r="F61" s="7">
        <f>Table7[[#This Row],[202071777805.0000]]-Table7[[#This Row],[Column1]]</f>
        <v>1557996002</v>
      </c>
      <c r="G61" s="7">
        <v>4777968</v>
      </c>
      <c r="H61" s="7">
        <v>118325553781</v>
      </c>
      <c r="I61" s="7">
        <f>-1*Table7[[#This Row],[-138030489769.0000]]</f>
        <v>99802670020</v>
      </c>
      <c r="J61" s="7">
        <v>-99802670020</v>
      </c>
      <c r="K61" s="7">
        <f>Table7[[#This Row],[Column7]]-Table7[[#This Row],[Column2]]</f>
        <v>18522883761</v>
      </c>
    </row>
    <row r="62" spans="1:11" ht="23.1" customHeight="1" x14ac:dyDescent="0.6">
      <c r="A62" s="6" t="s">
        <v>247</v>
      </c>
      <c r="B62" s="7">
        <v>15397678063</v>
      </c>
      <c r="C62" s="7">
        <v>16001414860783.002</v>
      </c>
      <c r="D62" s="7">
        <f>-1*Table7[[#This Row],[-153339638086.0000]]</f>
        <v>15738473459982</v>
      </c>
      <c r="E62" s="7">
        <v>-15738473459982</v>
      </c>
      <c r="F62" s="7">
        <f>Table7[[#This Row],[202071777805.0000]]-Table7[[#This Row],[Column1]]</f>
        <v>262941400801.00195</v>
      </c>
      <c r="G62" s="7">
        <v>15397678063</v>
      </c>
      <c r="H62" s="7">
        <v>16001414860783.002</v>
      </c>
      <c r="I62" s="7">
        <f>-1*Table7[[#This Row],[-138030489769.0000]]</f>
        <v>14648334355464</v>
      </c>
      <c r="J62" s="7">
        <v>-14648334355464</v>
      </c>
      <c r="K62" s="7">
        <f>Table7[[#This Row],[Column7]]-Table7[[#This Row],[Column2]]</f>
        <v>1353080505319.002</v>
      </c>
    </row>
    <row r="63" spans="1:11" ht="23.1" customHeight="1" x14ac:dyDescent="0.6">
      <c r="A63" s="6" t="s">
        <v>248</v>
      </c>
      <c r="B63" s="7">
        <v>87879032</v>
      </c>
      <c r="C63" s="7">
        <v>1120179257230</v>
      </c>
      <c r="D63" s="7">
        <f>-1*Table7[[#This Row],[-153339638086.0000]]</f>
        <v>1077372210371</v>
      </c>
      <c r="E63" s="7">
        <v>-1077372210371</v>
      </c>
      <c r="F63" s="7">
        <f>Table7[[#This Row],[202071777805.0000]]-Table7[[#This Row],[Column1]]</f>
        <v>42807046859</v>
      </c>
      <c r="G63" s="7">
        <v>87879032</v>
      </c>
      <c r="H63" s="7">
        <v>1120179257230</v>
      </c>
      <c r="I63" s="7">
        <f>-1*Table7[[#This Row],[-138030489769.0000]]</f>
        <v>1077372210371</v>
      </c>
      <c r="J63" s="7">
        <v>-1077372210371</v>
      </c>
      <c r="K63" s="7">
        <f>Table7[[#This Row],[Column7]]-Table7[[#This Row],[Column2]]</f>
        <v>42807046859</v>
      </c>
    </row>
    <row r="64" spans="1:11" ht="23.1" customHeight="1" x14ac:dyDescent="0.6">
      <c r="A64" s="6" t="s">
        <v>249</v>
      </c>
      <c r="B64" s="7">
        <v>10750735</v>
      </c>
      <c r="C64" s="7">
        <v>1400830403160</v>
      </c>
      <c r="D64" s="7">
        <f>-1*Table7[[#This Row],[-153339638086.0000]]</f>
        <v>1392281696781</v>
      </c>
      <c r="E64" s="7">
        <v>-1392281696781</v>
      </c>
      <c r="F64" s="7">
        <f>Table7[[#This Row],[202071777805.0000]]-Table7[[#This Row],[Column1]]</f>
        <v>8548706379</v>
      </c>
      <c r="G64" s="7">
        <v>10750735</v>
      </c>
      <c r="H64" s="7">
        <v>1400830403160</v>
      </c>
      <c r="I64" s="7">
        <f>-1*Table7[[#This Row],[-138030489769.0000]]</f>
        <v>1173820239917</v>
      </c>
      <c r="J64" s="7">
        <v>-1173820239917</v>
      </c>
      <c r="K64" s="7">
        <f>Table7[[#This Row],[Column7]]-Table7[[#This Row],[Column2]]</f>
        <v>227010163243</v>
      </c>
    </row>
    <row r="65" spans="1:11" ht="23.1" customHeight="1" x14ac:dyDescent="0.6">
      <c r="A65" s="6" t="s">
        <v>250</v>
      </c>
      <c r="B65" s="7">
        <v>15483241</v>
      </c>
      <c r="C65" s="7">
        <v>297516439962</v>
      </c>
      <c r="D65" s="7">
        <f>-1*Table7[[#This Row],[-153339638086.0000]]</f>
        <v>284408017027</v>
      </c>
      <c r="E65" s="7">
        <v>-284408017027</v>
      </c>
      <c r="F65" s="7">
        <f>Table7[[#This Row],[202071777805.0000]]-Table7[[#This Row],[Column1]]</f>
        <v>13108422935</v>
      </c>
      <c r="G65" s="7">
        <v>15483241</v>
      </c>
      <c r="H65" s="7">
        <v>297516439962</v>
      </c>
      <c r="I65" s="7">
        <f>-1*Table7[[#This Row],[-138030489769.0000]]</f>
        <v>264071107703</v>
      </c>
      <c r="J65" s="7">
        <v>-264071107703</v>
      </c>
      <c r="K65" s="7">
        <f>Table7[[#This Row],[Column7]]-Table7[[#This Row],[Column2]]</f>
        <v>33445332259</v>
      </c>
    </row>
    <row r="66" spans="1:11" ht="23.1" customHeight="1" x14ac:dyDescent="0.6">
      <c r="A66" s="6" t="s">
        <v>251</v>
      </c>
      <c r="B66" s="7">
        <v>18923375</v>
      </c>
      <c r="C66" s="7">
        <v>238820584562</v>
      </c>
      <c r="D66" s="7">
        <f>-1*Table7[[#This Row],[-153339638086.0000]]</f>
        <v>250072258831</v>
      </c>
      <c r="E66" s="7">
        <v>-250072258831</v>
      </c>
      <c r="F66" s="7">
        <f>Table7[[#This Row],[202071777805.0000]]-Table7[[#This Row],[Column1]]</f>
        <v>-11251674269</v>
      </c>
      <c r="G66" s="7">
        <v>18923375</v>
      </c>
      <c r="H66" s="7">
        <v>238820584562</v>
      </c>
      <c r="I66" s="7">
        <f>-1*Table7[[#This Row],[-138030489769.0000]]</f>
        <v>215689359381</v>
      </c>
      <c r="J66" s="7">
        <v>-215689359381</v>
      </c>
      <c r="K66" s="7">
        <f>Table7[[#This Row],[Column7]]-Table7[[#This Row],[Column2]]</f>
        <v>23131225181</v>
      </c>
    </row>
    <row r="67" spans="1:11" ht="23.1" customHeight="1" x14ac:dyDescent="0.6">
      <c r="A67" s="6" t="s">
        <v>252</v>
      </c>
      <c r="B67" s="7">
        <v>5653030</v>
      </c>
      <c r="C67" s="7">
        <v>255435737790</v>
      </c>
      <c r="D67" s="7">
        <f>-1*Table7[[#This Row],[-153339638086.0000]]</f>
        <v>249658372166</v>
      </c>
      <c r="E67" s="7">
        <v>-249658372166</v>
      </c>
      <c r="F67" s="7">
        <f>Table7[[#This Row],[202071777805.0000]]-Table7[[#This Row],[Column1]]</f>
        <v>5777365624</v>
      </c>
      <c r="G67" s="7">
        <v>5653030</v>
      </c>
      <c r="H67" s="7">
        <v>255435737790</v>
      </c>
      <c r="I67" s="7">
        <f>-1*Table7[[#This Row],[-138030489769.0000]]</f>
        <v>220164162419</v>
      </c>
      <c r="J67" s="7">
        <v>-220164162419</v>
      </c>
      <c r="K67" s="7">
        <f>Table7[[#This Row],[Column7]]-Table7[[#This Row],[Column2]]</f>
        <v>35271575371</v>
      </c>
    </row>
    <row r="68" spans="1:11" ht="23.1" customHeight="1" x14ac:dyDescent="0.6">
      <c r="A68" s="6" t="s">
        <v>253</v>
      </c>
      <c r="B68" s="7">
        <v>4941472</v>
      </c>
      <c r="C68" s="7">
        <v>482661786048</v>
      </c>
      <c r="D68" s="7">
        <f>-1*Table7[[#This Row],[-153339638086.0000]]</f>
        <v>438143140538</v>
      </c>
      <c r="E68" s="7">
        <v>-438143140538</v>
      </c>
      <c r="F68" s="7">
        <f>Table7[[#This Row],[202071777805.0000]]-Table7[[#This Row],[Column1]]</f>
        <v>44518645510</v>
      </c>
      <c r="G68" s="7">
        <v>4941472</v>
      </c>
      <c r="H68" s="7">
        <v>482661786048</v>
      </c>
      <c r="I68" s="7">
        <f>-1*Table7[[#This Row],[-138030489769.0000]]</f>
        <v>422370479247</v>
      </c>
      <c r="J68" s="7">
        <v>-422370479247</v>
      </c>
      <c r="K68" s="7">
        <f>Table7[[#This Row],[Column7]]-Table7[[#This Row],[Column2]]</f>
        <v>60291306801</v>
      </c>
    </row>
    <row r="69" spans="1:11" ht="23.1" customHeight="1" x14ac:dyDescent="0.6">
      <c r="A69" s="6" t="s">
        <v>254</v>
      </c>
      <c r="B69" s="7">
        <v>26884849</v>
      </c>
      <c r="C69" s="7">
        <v>82393165456</v>
      </c>
      <c r="D69" s="7">
        <f>-1*Table7[[#This Row],[-153339638086.0000]]</f>
        <v>81432587687</v>
      </c>
      <c r="E69" s="7">
        <v>-81432587687</v>
      </c>
      <c r="F69" s="7">
        <f>Table7[[#This Row],[202071777805.0000]]-Table7[[#This Row],[Column1]]</f>
        <v>960577769</v>
      </c>
      <c r="G69" s="7">
        <v>26884849</v>
      </c>
      <c r="H69" s="7">
        <v>82393165456</v>
      </c>
      <c r="I69" s="7">
        <f>-1*Table7[[#This Row],[-138030489769.0000]]</f>
        <v>67233141410</v>
      </c>
      <c r="J69" s="7">
        <v>-67233141410</v>
      </c>
      <c r="K69" s="7">
        <f>Table7[[#This Row],[Column7]]-Table7[[#This Row],[Column2]]</f>
        <v>15160024046</v>
      </c>
    </row>
    <row r="70" spans="1:11" ht="23.1" customHeight="1" x14ac:dyDescent="0.6">
      <c r="A70" s="6" t="s">
        <v>255</v>
      </c>
      <c r="B70" s="7">
        <v>700000</v>
      </c>
      <c r="C70" s="7">
        <v>2288659299</v>
      </c>
      <c r="D70" s="7">
        <f>-1*Table7[[#This Row],[-153339638086.0000]]</f>
        <v>1550314862</v>
      </c>
      <c r="E70" s="7">
        <v>-1550314862</v>
      </c>
      <c r="F70" s="7">
        <f>Table7[[#This Row],[202071777805.0000]]-Table7[[#This Row],[Column1]]</f>
        <v>738344437</v>
      </c>
      <c r="G70" s="7">
        <v>700000</v>
      </c>
      <c r="H70" s="7">
        <v>2288659299</v>
      </c>
      <c r="I70" s="7">
        <f>-1*Table7[[#This Row],[-138030489769.0000]]</f>
        <v>2263809220</v>
      </c>
      <c r="J70" s="7">
        <v>-2263809220</v>
      </c>
      <c r="K70" s="7">
        <f>Table7[[#This Row],[Column7]]-Table7[[#This Row],[Column2]]</f>
        <v>24850079</v>
      </c>
    </row>
    <row r="71" spans="1:11" ht="23.1" customHeight="1" x14ac:dyDescent="0.6">
      <c r="A71" s="6" t="s">
        <v>256</v>
      </c>
      <c r="B71" s="7">
        <v>331774122</v>
      </c>
      <c r="C71" s="7">
        <v>618951524841</v>
      </c>
      <c r="D71" s="7">
        <f>-1*Table7[[#This Row],[-153339638086.0000]]</f>
        <v>867106074259</v>
      </c>
      <c r="E71" s="7">
        <v>-867106074259</v>
      </c>
      <c r="F71" s="7">
        <f>Table7[[#This Row],[202071777805.0000]]-Table7[[#This Row],[Column1]]</f>
        <v>-248154549418</v>
      </c>
      <c r="G71" s="7">
        <v>331774122</v>
      </c>
      <c r="H71" s="7">
        <v>618951524841</v>
      </c>
      <c r="I71" s="7">
        <f>-1*Table7[[#This Row],[-138030489769.0000]]</f>
        <v>725511433486</v>
      </c>
      <c r="J71" s="7">
        <v>-725511433486</v>
      </c>
      <c r="K71" s="7">
        <f>Table7[[#This Row],[Column7]]-Table7[[#This Row],[Column2]]</f>
        <v>-106559908645</v>
      </c>
    </row>
    <row r="72" spans="1:11" ht="23.1" customHeight="1" x14ac:dyDescent="0.6">
      <c r="A72" s="6" t="s">
        <v>257</v>
      </c>
      <c r="B72" s="7">
        <v>22479863</v>
      </c>
      <c r="C72" s="7">
        <v>258546578283</v>
      </c>
      <c r="D72" s="7">
        <f>-1*Table7[[#This Row],[-153339638086.0000]]</f>
        <v>239158411181</v>
      </c>
      <c r="E72" s="7">
        <v>-239158411181</v>
      </c>
      <c r="F72" s="7">
        <f>Table7[[#This Row],[202071777805.0000]]-Table7[[#This Row],[Column1]]</f>
        <v>19388167102</v>
      </c>
      <c r="G72" s="7">
        <v>22479863</v>
      </c>
      <c r="H72" s="7">
        <v>258546578283</v>
      </c>
      <c r="I72" s="7">
        <f>-1*Table7[[#This Row],[-138030489769.0000]]</f>
        <v>200245398185</v>
      </c>
      <c r="J72" s="7">
        <v>-200245398185</v>
      </c>
      <c r="K72" s="7">
        <f>Table7[[#This Row],[Column7]]-Table7[[#This Row],[Column2]]</f>
        <v>58301180098</v>
      </c>
    </row>
    <row r="73" spans="1:11" ht="23.1" customHeight="1" x14ac:dyDescent="0.6">
      <c r="A73" s="6" t="s">
        <v>258</v>
      </c>
      <c r="B73" s="7">
        <v>5206052</v>
      </c>
      <c r="C73" s="7">
        <v>179212186551</v>
      </c>
      <c r="D73" s="7">
        <f>-1*Table7[[#This Row],[-153339638086.0000]]</f>
        <v>161393149783</v>
      </c>
      <c r="E73" s="7">
        <v>-161393149783</v>
      </c>
      <c r="F73" s="7">
        <f>Table7[[#This Row],[202071777805.0000]]-Table7[[#This Row],[Column1]]</f>
        <v>17819036768</v>
      </c>
      <c r="G73" s="7">
        <v>5206052</v>
      </c>
      <c r="H73" s="7">
        <v>179212186551</v>
      </c>
      <c r="I73" s="7">
        <f>-1*Table7[[#This Row],[-138030489769.0000]]</f>
        <v>169523155198</v>
      </c>
      <c r="J73" s="7">
        <v>-169523155198</v>
      </c>
      <c r="K73" s="7">
        <f>Table7[[#This Row],[Column7]]-Table7[[#This Row],[Column2]]</f>
        <v>9689031353</v>
      </c>
    </row>
    <row r="74" spans="1:11" ht="23.1" customHeight="1" x14ac:dyDescent="0.6">
      <c r="A74" s="6" t="s">
        <v>259</v>
      </c>
      <c r="B74" s="7">
        <v>4277177</v>
      </c>
      <c r="C74" s="7">
        <v>26882996716</v>
      </c>
      <c r="D74" s="7">
        <f>-1*Table7[[#This Row],[-153339638086.0000]]</f>
        <v>28166399164</v>
      </c>
      <c r="E74" s="7">
        <v>-28166399164</v>
      </c>
      <c r="F74" s="7">
        <f>Table7[[#This Row],[202071777805.0000]]-Table7[[#This Row],[Column1]]</f>
        <v>-1283402448</v>
      </c>
      <c r="G74" s="7">
        <v>4277177</v>
      </c>
      <c r="H74" s="7">
        <v>26882996716</v>
      </c>
      <c r="I74" s="7">
        <f>-1*Table7[[#This Row],[-138030489769.0000]]</f>
        <v>27212274532</v>
      </c>
      <c r="J74" s="7">
        <v>-27212274532</v>
      </c>
      <c r="K74" s="7">
        <f>Table7[[#This Row],[Column7]]-Table7[[#This Row],[Column2]]</f>
        <v>-329277816</v>
      </c>
    </row>
    <row r="75" spans="1:11" ht="23.1" customHeight="1" x14ac:dyDescent="0.6">
      <c r="A75" s="6" t="s">
        <v>260</v>
      </c>
      <c r="B75" s="7">
        <v>4136674</v>
      </c>
      <c r="C75" s="7">
        <v>110323919114</v>
      </c>
      <c r="D75" s="7">
        <f>-1*Table7[[#This Row],[-153339638086.0000]]</f>
        <v>110874180067</v>
      </c>
      <c r="E75" s="7">
        <v>-110874180067</v>
      </c>
      <c r="F75" s="7">
        <f>Table7[[#This Row],[202071777805.0000]]-Table7[[#This Row],[Column1]]</f>
        <v>-550260953</v>
      </c>
      <c r="G75" s="7">
        <v>4136674</v>
      </c>
      <c r="H75" s="7">
        <v>110323919114</v>
      </c>
      <c r="I75" s="7">
        <f>-1*Table7[[#This Row],[-138030489769.0000]]</f>
        <v>83766833048</v>
      </c>
      <c r="J75" s="7">
        <v>-83766833048</v>
      </c>
      <c r="K75" s="7">
        <f>Table7[[#This Row],[Column7]]-Table7[[#This Row],[Column2]]</f>
        <v>26557086066</v>
      </c>
    </row>
    <row r="76" spans="1:11" ht="23.1" customHeight="1" x14ac:dyDescent="0.6">
      <c r="A76" s="6" t="s">
        <v>261</v>
      </c>
      <c r="B76" s="7">
        <v>7123242</v>
      </c>
      <c r="C76" s="7">
        <v>240796132613</v>
      </c>
      <c r="D76" s="7">
        <f>-1*Table7[[#This Row],[-153339638086.0000]]</f>
        <v>220088256114</v>
      </c>
      <c r="E76" s="7">
        <v>-220088256114</v>
      </c>
      <c r="F76" s="7">
        <f>Table7[[#This Row],[202071777805.0000]]-Table7[[#This Row],[Column1]]</f>
        <v>20707876499</v>
      </c>
      <c r="G76" s="7">
        <v>7123242</v>
      </c>
      <c r="H76" s="7">
        <v>240796132613</v>
      </c>
      <c r="I76" s="7">
        <f>-1*Table7[[#This Row],[-138030489769.0000]]</f>
        <v>187553803017</v>
      </c>
      <c r="J76" s="7">
        <v>-187553803017</v>
      </c>
      <c r="K76" s="7">
        <f>Table7[[#This Row],[Column7]]-Table7[[#This Row],[Column2]]</f>
        <v>53242329596</v>
      </c>
    </row>
    <row r="77" spans="1:11" ht="23.1" customHeight="1" x14ac:dyDescent="0.6">
      <c r="A77" s="6" t="s">
        <v>262</v>
      </c>
      <c r="B77" s="7">
        <v>2332537</v>
      </c>
      <c r="C77" s="7">
        <v>18879190604</v>
      </c>
      <c r="D77" s="7">
        <f>-1*Table7[[#This Row],[-153339638086.0000]]</f>
        <v>20135728520</v>
      </c>
      <c r="E77" s="7">
        <v>-20135728520</v>
      </c>
      <c r="F77" s="7">
        <f>Table7[[#This Row],[202071777805.0000]]-Table7[[#This Row],[Column1]]</f>
        <v>-1256537916</v>
      </c>
      <c r="G77" s="7">
        <v>2332537</v>
      </c>
      <c r="H77" s="7">
        <v>18879190604</v>
      </c>
      <c r="I77" s="7">
        <f>-1*Table7[[#This Row],[-138030489769.0000]]</f>
        <v>16442357272</v>
      </c>
      <c r="J77" s="7">
        <v>-16442357272</v>
      </c>
      <c r="K77" s="7">
        <f>Table7[[#This Row],[Column7]]-Table7[[#This Row],[Column2]]</f>
        <v>2436833332</v>
      </c>
    </row>
    <row r="78" spans="1:11" ht="23.1" customHeight="1" x14ac:dyDescent="0.6">
      <c r="A78" s="6" t="s">
        <v>263</v>
      </c>
      <c r="B78" s="7">
        <v>7712946</v>
      </c>
      <c r="C78" s="7">
        <v>164083821792</v>
      </c>
      <c r="D78" s="7">
        <f>-1*Table7[[#This Row],[-153339638086.0000]]</f>
        <v>187709663423</v>
      </c>
      <c r="E78" s="7">
        <v>-187709663423</v>
      </c>
      <c r="F78" s="7">
        <f>Table7[[#This Row],[202071777805.0000]]-Table7[[#This Row],[Column1]]</f>
        <v>-23625841631</v>
      </c>
      <c r="G78" s="7">
        <v>7712946</v>
      </c>
      <c r="H78" s="7">
        <v>164083821792</v>
      </c>
      <c r="I78" s="7">
        <f>-1*Table7[[#This Row],[-138030489769.0000]]</f>
        <v>167302733518</v>
      </c>
      <c r="J78" s="7">
        <v>-167302733518</v>
      </c>
      <c r="K78" s="7">
        <f>Table7[[#This Row],[Column7]]-Table7[[#This Row],[Column2]]</f>
        <v>-3218911726</v>
      </c>
    </row>
    <row r="79" spans="1:11" ht="23.1" customHeight="1" x14ac:dyDescent="0.6">
      <c r="A79" s="6" t="s">
        <v>264</v>
      </c>
      <c r="B79" s="7">
        <v>3536</v>
      </c>
      <c r="C79" s="7">
        <v>170786205</v>
      </c>
      <c r="D79" s="7">
        <f>-1*Table7[[#This Row],[-153339638086.0000]]</f>
        <v>203091328</v>
      </c>
      <c r="E79" s="7">
        <v>-203091328</v>
      </c>
      <c r="F79" s="7">
        <f>Table7[[#This Row],[202071777805.0000]]-Table7[[#This Row],[Column1]]</f>
        <v>-32305123</v>
      </c>
      <c r="G79" s="7">
        <v>3536</v>
      </c>
      <c r="H79" s="7">
        <v>170786205</v>
      </c>
      <c r="I79" s="7">
        <f>-1*Table7[[#This Row],[-138030489769.0000]]</f>
        <v>183287331</v>
      </c>
      <c r="J79" s="7">
        <v>-183287331</v>
      </c>
      <c r="K79" s="7">
        <f>Table7[[#This Row],[Column7]]-Table7[[#This Row],[Column2]]</f>
        <v>-12501126</v>
      </c>
    </row>
    <row r="80" spans="1:11" ht="23.1" customHeight="1" x14ac:dyDescent="0.6">
      <c r="A80" s="6" t="s">
        <v>265</v>
      </c>
      <c r="B80" s="7">
        <v>164023</v>
      </c>
      <c r="C80" s="7">
        <v>10589471913</v>
      </c>
      <c r="D80" s="7">
        <f>-1*Table7[[#This Row],[-153339638086.0000]]</f>
        <v>11293139159</v>
      </c>
      <c r="E80" s="7">
        <v>-11293139159</v>
      </c>
      <c r="F80" s="7">
        <f>Table7[[#This Row],[202071777805.0000]]-Table7[[#This Row],[Column1]]</f>
        <v>-703667246</v>
      </c>
      <c r="G80" s="7">
        <v>164023</v>
      </c>
      <c r="H80" s="7">
        <v>10589471913</v>
      </c>
      <c r="I80" s="7">
        <f>-1*Table7[[#This Row],[-138030489769.0000]]</f>
        <v>11271743522</v>
      </c>
      <c r="J80" s="7">
        <v>-11271743522</v>
      </c>
      <c r="K80" s="7">
        <f>Table7[[#This Row],[Column7]]-Table7[[#This Row],[Column2]]</f>
        <v>-682271609</v>
      </c>
    </row>
    <row r="81" spans="1:11" ht="23.1" customHeight="1" x14ac:dyDescent="0.6">
      <c r="A81" s="6" t="s">
        <v>266</v>
      </c>
      <c r="B81" s="7">
        <v>150378825</v>
      </c>
      <c r="C81" s="7">
        <v>1852761742361</v>
      </c>
      <c r="D81" s="7">
        <f>-1*Table7[[#This Row],[-153339638086.0000]]</f>
        <v>1874285254519</v>
      </c>
      <c r="E81" s="7">
        <v>-1874285254519</v>
      </c>
      <c r="F81" s="7">
        <f>Table7[[#This Row],[202071777805.0000]]-Table7[[#This Row],[Column1]]</f>
        <v>-21523512158</v>
      </c>
      <c r="G81" s="7">
        <v>150378825</v>
      </c>
      <c r="H81" s="7">
        <v>1852761742361</v>
      </c>
      <c r="I81" s="7">
        <f>-1*Table7[[#This Row],[-138030489769.0000]]</f>
        <v>1635543130958</v>
      </c>
      <c r="J81" s="7">
        <v>-1635543130958</v>
      </c>
      <c r="K81" s="7">
        <f>Table7[[#This Row],[Column7]]-Table7[[#This Row],[Column2]]</f>
        <v>217218611403</v>
      </c>
    </row>
    <row r="82" spans="1:11" ht="23.1" customHeight="1" x14ac:dyDescent="0.6">
      <c r="A82" s="6" t="s">
        <v>267</v>
      </c>
      <c r="B82" s="7">
        <v>5865481</v>
      </c>
      <c r="C82" s="7">
        <v>554745849142</v>
      </c>
      <c r="D82" s="7">
        <f>-1*Table7[[#This Row],[-153339638086.0000]]</f>
        <v>568772102716</v>
      </c>
      <c r="E82" s="7">
        <v>-568772102716</v>
      </c>
      <c r="F82" s="7">
        <f>Table7[[#This Row],[202071777805.0000]]-Table7[[#This Row],[Column1]]</f>
        <v>-14026253574</v>
      </c>
      <c r="G82" s="7">
        <v>5865481</v>
      </c>
      <c r="H82" s="7">
        <v>554745849142</v>
      </c>
      <c r="I82" s="7">
        <f>-1*Table7[[#This Row],[-138030489769.0000]]</f>
        <v>475587683883</v>
      </c>
      <c r="J82" s="7">
        <v>-475587683883</v>
      </c>
      <c r="K82" s="7">
        <f>Table7[[#This Row],[Column7]]-Table7[[#This Row],[Column2]]</f>
        <v>79158165259</v>
      </c>
    </row>
    <row r="83" spans="1:11" ht="23.1" customHeight="1" x14ac:dyDescent="0.6">
      <c r="A83" s="6" t="s">
        <v>268</v>
      </c>
      <c r="B83" s="7">
        <v>6087269</v>
      </c>
      <c r="C83" s="7">
        <v>200118944029</v>
      </c>
      <c r="D83" s="7">
        <f>-1*Table7[[#This Row],[-153339638086.0000]]</f>
        <v>209431200356</v>
      </c>
      <c r="E83" s="7">
        <v>-209431200356</v>
      </c>
      <c r="F83" s="7">
        <f>Table7[[#This Row],[202071777805.0000]]-Table7[[#This Row],[Column1]]</f>
        <v>-9312256327</v>
      </c>
      <c r="G83" s="7">
        <v>6087269</v>
      </c>
      <c r="H83" s="7">
        <v>200118944029</v>
      </c>
      <c r="I83" s="7">
        <f>-1*Table7[[#This Row],[-138030489769.0000]]</f>
        <v>167304555843</v>
      </c>
      <c r="J83" s="7">
        <v>-167304555843</v>
      </c>
      <c r="K83" s="7">
        <f>Table7[[#This Row],[Column7]]-Table7[[#This Row],[Column2]]</f>
        <v>32814388186</v>
      </c>
    </row>
    <row r="84" spans="1:11" ht="23.1" customHeight="1" x14ac:dyDescent="0.6">
      <c r="A84" s="6" t="s">
        <v>269</v>
      </c>
      <c r="B84" s="7">
        <v>3862291</v>
      </c>
      <c r="C84" s="7">
        <v>37281375667</v>
      </c>
      <c r="D84" s="7">
        <f>-1*Table7[[#This Row],[-153339638086.0000]]</f>
        <v>36641459500</v>
      </c>
      <c r="E84" s="7">
        <v>-36641459500</v>
      </c>
      <c r="F84" s="7">
        <f>Table7[[#This Row],[202071777805.0000]]-Table7[[#This Row],[Column1]]</f>
        <v>639916167</v>
      </c>
      <c r="G84" s="7">
        <v>3862291</v>
      </c>
      <c r="H84" s="7">
        <v>37281375667</v>
      </c>
      <c r="I84" s="7">
        <f>-1*Table7[[#This Row],[-138030489769.0000]]</f>
        <v>31716546178</v>
      </c>
      <c r="J84" s="7">
        <v>-31716546178</v>
      </c>
      <c r="K84" s="7">
        <f>Table7[[#This Row],[Column7]]-Table7[[#This Row],[Column2]]</f>
        <v>5564829489</v>
      </c>
    </row>
    <row r="85" spans="1:11" ht="23.1" customHeight="1" x14ac:dyDescent="0.6">
      <c r="A85" s="6" t="s">
        <v>270</v>
      </c>
      <c r="B85" s="7">
        <v>2846242</v>
      </c>
      <c r="C85" s="7">
        <v>78468135642</v>
      </c>
      <c r="D85" s="7">
        <f>-1*Table7[[#This Row],[-153339638086.0000]]</f>
        <v>79284777622</v>
      </c>
      <c r="E85" s="7">
        <v>-79284777622</v>
      </c>
      <c r="F85" s="7">
        <f>Table7[[#This Row],[202071777805.0000]]-Table7[[#This Row],[Column1]]</f>
        <v>-816641980</v>
      </c>
      <c r="G85" s="7">
        <v>2846242</v>
      </c>
      <c r="H85" s="7">
        <v>78468135642</v>
      </c>
      <c r="I85" s="7">
        <f>-1*Table7[[#This Row],[-138030489769.0000]]</f>
        <v>70073861150</v>
      </c>
      <c r="J85" s="7">
        <v>-70073861150</v>
      </c>
      <c r="K85" s="7">
        <f>Table7[[#This Row],[Column7]]-Table7[[#This Row],[Column2]]</f>
        <v>8394274492</v>
      </c>
    </row>
    <row r="86" spans="1:11" ht="23.1" customHeight="1" x14ac:dyDescent="0.6">
      <c r="A86" s="6" t="s">
        <v>271</v>
      </c>
      <c r="B86" s="7">
        <v>39937589</v>
      </c>
      <c r="C86" s="7">
        <v>235053622590</v>
      </c>
      <c r="D86" s="7">
        <f>-1*Table7[[#This Row],[-153339638086.0000]]</f>
        <v>261110965196</v>
      </c>
      <c r="E86" s="7">
        <v>-261110965196</v>
      </c>
      <c r="F86" s="7">
        <f>Table7[[#This Row],[202071777805.0000]]-Table7[[#This Row],[Column1]]</f>
        <v>-26057342606</v>
      </c>
      <c r="G86" s="7">
        <v>39937589</v>
      </c>
      <c r="H86" s="7">
        <v>235053622590</v>
      </c>
      <c r="I86" s="7">
        <f>-1*Table7[[#This Row],[-138030489769.0000]]</f>
        <v>227411137965</v>
      </c>
      <c r="J86" s="7">
        <v>-227411137965</v>
      </c>
      <c r="K86" s="7">
        <f>Table7[[#This Row],[Column7]]-Table7[[#This Row],[Column2]]</f>
        <v>7642484625</v>
      </c>
    </row>
    <row r="87" spans="1:11" ht="23.1" customHeight="1" x14ac:dyDescent="0.6">
      <c r="A87" s="6" t="s">
        <v>276</v>
      </c>
      <c r="B87" s="7">
        <v>74472707</v>
      </c>
      <c r="C87" s="7">
        <v>1689126595555</v>
      </c>
      <c r="D87" s="7">
        <f>-1*Table7[[#This Row],[-153339638086.0000]]</f>
        <v>1695724283837</v>
      </c>
      <c r="E87" s="7">
        <v>-1695724283837</v>
      </c>
      <c r="F87" s="7">
        <f>Table7[[#This Row],[202071777805.0000]]-Table7[[#This Row],[Column1]]</f>
        <v>-6597688282</v>
      </c>
      <c r="G87" s="7">
        <v>74472707</v>
      </c>
      <c r="H87" s="7">
        <v>1689126595555</v>
      </c>
      <c r="I87" s="7">
        <f>-1*Table7[[#This Row],[-138030489769.0000]]</f>
        <v>1679818365520</v>
      </c>
      <c r="J87" s="7">
        <v>-1679818365520</v>
      </c>
      <c r="K87" s="7">
        <f>Table7[[#This Row],[Column7]]-Table7[[#This Row],[Column2]]</f>
        <v>9308230035</v>
      </c>
    </row>
    <row r="88" spans="1:11" ht="23.1" customHeight="1" x14ac:dyDescent="0.6">
      <c r="A88" s="6" t="s">
        <v>294</v>
      </c>
      <c r="B88" s="7">
        <v>930000</v>
      </c>
      <c r="C88" s="7">
        <v>929325750000</v>
      </c>
      <c r="D88" s="7">
        <f>-1*Table7[[#This Row],[-153339638086.0000]]</f>
        <v>930149370186</v>
      </c>
      <c r="E88" s="7">
        <v>-930149370186</v>
      </c>
      <c r="F88" s="7">
        <f>Table7[[#This Row],[202071777805.0000]]-Table7[[#This Row],[Column1]]</f>
        <v>-823620186</v>
      </c>
      <c r="G88" s="7">
        <v>930000</v>
      </c>
      <c r="H88" s="7">
        <v>929325750000</v>
      </c>
      <c r="I88" s="7">
        <f>-1*Table7[[#This Row],[-138030489769.0000]]</f>
        <v>930149370186</v>
      </c>
      <c r="J88" s="7">
        <v>-930149370186</v>
      </c>
      <c r="K88" s="7">
        <f>Table7[[#This Row],[Column7]]-Table7[[#This Row],[Column2]]</f>
        <v>-823620186</v>
      </c>
    </row>
    <row r="89" spans="1:11" ht="23.1" customHeight="1" x14ac:dyDescent="0.6">
      <c r="A89" s="6" t="s">
        <v>281</v>
      </c>
      <c r="B89" s="7">
        <v>1000000</v>
      </c>
      <c r="C89" s="7">
        <v>999401240000</v>
      </c>
      <c r="D89" s="7">
        <f>-1*Table7[[#This Row],[-153339638086.0000]]</f>
        <v>1000160000000</v>
      </c>
      <c r="E89" s="7">
        <v>-1000160000000</v>
      </c>
      <c r="F89" s="7">
        <f>Table7[[#This Row],[202071777805.0000]]-Table7[[#This Row],[Column1]]</f>
        <v>-758760000</v>
      </c>
      <c r="G89" s="7">
        <v>1000000</v>
      </c>
      <c r="H89" s="7">
        <v>999401240000</v>
      </c>
      <c r="I89" s="7">
        <f>-1*Table7[[#This Row],[-138030489769.0000]]</f>
        <v>1000160000000</v>
      </c>
      <c r="J89" s="7">
        <v>-1000160000000</v>
      </c>
      <c r="K89" s="7">
        <f>Table7[[#This Row],[Column7]]-Table7[[#This Row],[Column2]]</f>
        <v>-758760000</v>
      </c>
    </row>
    <row r="90" spans="1:11" ht="23.1" customHeight="1" x14ac:dyDescent="0.6">
      <c r="A90" s="6" t="s">
        <v>306</v>
      </c>
      <c r="B90" s="7">
        <v>0</v>
      </c>
      <c r="C90" s="7">
        <v>0</v>
      </c>
      <c r="D90" s="7">
        <f>-1*Table7[[#This Row],[-153339638086.0000]]</f>
        <v>-12484917037</v>
      </c>
      <c r="E90" s="7">
        <v>12484917037</v>
      </c>
      <c r="F90" s="7">
        <f>Table7[[#This Row],[202071777805.0000]]-Table7[[#This Row],[Column1]]</f>
        <v>12484917037</v>
      </c>
      <c r="G90" s="7">
        <v>0</v>
      </c>
      <c r="H90" s="7">
        <v>0</v>
      </c>
      <c r="I90" s="7">
        <f>-1*Table7[[#This Row],[-138030489769.0000]]</f>
        <v>0</v>
      </c>
      <c r="J90" s="7">
        <v>0</v>
      </c>
      <c r="K90" s="7">
        <f>Table7[[#This Row],[Column7]]-Table7[[#This Row],[Column2]]</f>
        <v>0</v>
      </c>
    </row>
    <row r="91" spans="1:11" ht="23.1" customHeight="1" x14ac:dyDescent="0.6">
      <c r="A91" s="6" t="s">
        <v>285</v>
      </c>
      <c r="B91" s="7">
        <v>39944</v>
      </c>
      <c r="C91" s="7">
        <v>37120987759</v>
      </c>
      <c r="D91" s="7">
        <f>-1*Table7[[#This Row],[-153339638086.0000]]</f>
        <v>39915040600</v>
      </c>
      <c r="E91" s="7">
        <v>-39915040600</v>
      </c>
      <c r="F91" s="7">
        <f>Table7[[#This Row],[202071777805.0000]]-Table7[[#This Row],[Column1]]</f>
        <v>-2794052841</v>
      </c>
      <c r="G91" s="7">
        <v>39944</v>
      </c>
      <c r="H91" s="7">
        <v>37120987759</v>
      </c>
      <c r="I91" s="7">
        <f>-1*Table7[[#This Row],[-138030489769.0000]]</f>
        <v>39915040600</v>
      </c>
      <c r="J91" s="7">
        <v>-39915040600</v>
      </c>
      <c r="K91" s="7">
        <f>Table7[[#This Row],[Column7]]-Table7[[#This Row],[Column2]]</f>
        <v>-2794052841</v>
      </c>
    </row>
    <row r="92" spans="1:11" ht="23.1" customHeight="1" x14ac:dyDescent="0.6">
      <c r="A92" s="6" t="s">
        <v>300</v>
      </c>
      <c r="B92" s="7">
        <v>4418492</v>
      </c>
      <c r="C92" s="7">
        <v>4415326225961</v>
      </c>
      <c r="D92" s="7">
        <f>-1*Table7[[#This Row],[-153339638086.0000]]</f>
        <v>4415715129714</v>
      </c>
      <c r="E92" s="7">
        <v>-4415715129714</v>
      </c>
      <c r="F92" s="7">
        <f>Table7[[#This Row],[202071777805.0000]]-Table7[[#This Row],[Column1]]</f>
        <v>-388903753</v>
      </c>
      <c r="G92" s="7">
        <v>4418492</v>
      </c>
      <c r="H92" s="7">
        <v>4415326225961</v>
      </c>
      <c r="I92" s="7">
        <f>-1*Table7[[#This Row],[-138030489769.0000]]</f>
        <v>4416129801285</v>
      </c>
      <c r="J92" s="7">
        <v>-4416129801285</v>
      </c>
      <c r="K92" s="7">
        <f>Table7[[#This Row],[Column7]]-Table7[[#This Row],[Column2]]</f>
        <v>-803575324</v>
      </c>
    </row>
    <row r="93" spans="1:11" ht="23.1" customHeight="1" x14ac:dyDescent="0.6">
      <c r="A93" s="6" t="s">
        <v>309</v>
      </c>
      <c r="B93" s="7">
        <v>590000</v>
      </c>
      <c r="C93" s="7">
        <v>589572250000</v>
      </c>
      <c r="D93" s="7">
        <f>-1*Table7[[#This Row],[-153339638086.0000]]</f>
        <v>590004693333</v>
      </c>
      <c r="E93" s="7">
        <v>-590004693333</v>
      </c>
      <c r="F93" s="7">
        <f>Table7[[#This Row],[202071777805.0000]]-Table7[[#This Row],[Column1]]</f>
        <v>-432443333</v>
      </c>
      <c r="G93" s="7">
        <v>590000</v>
      </c>
      <c r="H93" s="7">
        <v>589572250000</v>
      </c>
      <c r="I93" s="7">
        <f>-1*Table7[[#This Row],[-138030489769.0000]]</f>
        <v>590311093333</v>
      </c>
      <c r="J93" s="7">
        <v>-590311093333</v>
      </c>
      <c r="K93" s="7">
        <f>Table7[[#This Row],[Column7]]-Table7[[#This Row],[Column2]]</f>
        <v>-738843333</v>
      </c>
    </row>
    <row r="94" spans="1:11" ht="23.1" customHeight="1" x14ac:dyDescent="0.6">
      <c r="A94" s="6" t="s">
        <v>291</v>
      </c>
      <c r="B94" s="7">
        <v>743000</v>
      </c>
      <c r="C94" s="7">
        <v>742468749629</v>
      </c>
      <c r="D94" s="7">
        <f>-1*Table7[[#This Row],[-153339638086.0000]]</f>
        <v>742555150062</v>
      </c>
      <c r="E94" s="7">
        <v>-742555150062</v>
      </c>
      <c r="F94" s="7">
        <f>Table7[[#This Row],[202071777805.0000]]-Table7[[#This Row],[Column1]]</f>
        <v>-86400433</v>
      </c>
      <c r="G94" s="7">
        <v>743000</v>
      </c>
      <c r="H94" s="7">
        <v>742468749629</v>
      </c>
      <c r="I94" s="7">
        <f>-1*Table7[[#This Row],[-138030489769.0000]]</f>
        <v>743538675000</v>
      </c>
      <c r="J94" s="7">
        <v>-743538675000</v>
      </c>
      <c r="K94" s="7">
        <f>Table7[[#This Row],[Column7]]-Table7[[#This Row],[Column2]]</f>
        <v>-1069925371</v>
      </c>
    </row>
    <row r="95" spans="1:11" ht="23.1" customHeight="1" x14ac:dyDescent="0.6">
      <c r="A95" s="6" t="s">
        <v>272</v>
      </c>
      <c r="B95" s="7">
        <v>931158026</v>
      </c>
      <c r="C95" s="7">
        <v>2250759386735</v>
      </c>
      <c r="D95" s="7">
        <f>-1*Table7[[#This Row],[-153339638086.0000]]</f>
        <v>3210053693359</v>
      </c>
      <c r="E95" s="7">
        <v>-3210053693359</v>
      </c>
      <c r="F95" s="7">
        <f>Table7[[#This Row],[202071777805.0000]]-Table7[[#This Row],[Column1]]</f>
        <v>-959294306624</v>
      </c>
      <c r="G95" s="7">
        <v>931158026</v>
      </c>
      <c r="H95" s="7">
        <v>2250759386735</v>
      </c>
      <c r="I95" s="7">
        <f>-1*Table7[[#This Row],[-138030489769.0000]]</f>
        <v>3615278337381</v>
      </c>
      <c r="J95" s="7">
        <v>-3615278337381</v>
      </c>
      <c r="K95" s="7">
        <f>Table7[[#This Row],[Column7]]-Table7[[#This Row],[Column2]]</f>
        <v>-1364518950646</v>
      </c>
    </row>
    <row r="96" spans="1:11" ht="23.1" customHeight="1" x14ac:dyDescent="0.6">
      <c r="A96" s="6" t="s">
        <v>343</v>
      </c>
      <c r="B96" s="7">
        <v>0</v>
      </c>
      <c r="C96" s="7">
        <v>0</v>
      </c>
      <c r="D96" s="7">
        <f>-1*Table7[[#This Row],[-153339638086.0000]]</f>
        <v>0</v>
      </c>
      <c r="E96" s="7">
        <v>0</v>
      </c>
      <c r="F96" s="7">
        <f>Table7[[#This Row],[202071777805.0000]]-Table7[[#This Row],[Column1]]</f>
        <v>0</v>
      </c>
      <c r="G96" s="7">
        <v>0</v>
      </c>
      <c r="H96" s="7">
        <v>217571559033</v>
      </c>
      <c r="I96" s="7">
        <f>-1*Table7[[#This Row],[-138030489769.0000]]</f>
        <v>0</v>
      </c>
      <c r="J96" s="7">
        <v>0</v>
      </c>
      <c r="K96" s="7">
        <v>217571559033</v>
      </c>
    </row>
    <row r="97" spans="1:11" ht="23.1" customHeight="1" x14ac:dyDescent="0.6">
      <c r="A97" s="6" t="s">
        <v>273</v>
      </c>
      <c r="B97" s="7">
        <v>606785</v>
      </c>
      <c r="C97" s="7">
        <v>31025591069</v>
      </c>
      <c r="D97" s="7">
        <f>-1*Table7[[#This Row],[-153339638086.0000]]</f>
        <v>44613308401</v>
      </c>
      <c r="E97" s="7">
        <v>-44613308401</v>
      </c>
      <c r="F97" s="7">
        <f>Table7[[#This Row],[202071777805.0000]]-Table7[[#This Row],[Column1]]</f>
        <v>-13587717332</v>
      </c>
      <c r="G97" s="7">
        <v>606785</v>
      </c>
      <c r="H97" s="7">
        <v>31025591069</v>
      </c>
      <c r="I97" s="7">
        <f>-1*Table7[[#This Row],[-138030489769.0000]]</f>
        <v>30630722668</v>
      </c>
      <c r="J97" s="7">
        <v>-30630722668</v>
      </c>
      <c r="K97" s="7">
        <f>Table7[[#This Row],[Column7]]-Table7[[#This Row],[Column2]]</f>
        <v>394868401</v>
      </c>
    </row>
    <row r="98" spans="1:11" ht="23.1" customHeight="1" x14ac:dyDescent="0.6">
      <c r="A98" s="6" t="s">
        <v>274</v>
      </c>
      <c r="B98" s="7">
        <v>15118024</v>
      </c>
      <c r="C98" s="7">
        <v>17206342572</v>
      </c>
      <c r="D98" s="7">
        <f>-1*Table7[[#This Row],[-153339638086.0000]]</f>
        <v>15151612203</v>
      </c>
      <c r="E98" s="7">
        <v>-15151612203</v>
      </c>
      <c r="F98" s="7">
        <f>Table7[[#This Row],[202071777805.0000]]-Table7[[#This Row],[Column1]]</f>
        <v>2054730369</v>
      </c>
      <c r="G98" s="7">
        <v>15118024</v>
      </c>
      <c r="H98" s="7">
        <v>17206342572</v>
      </c>
      <c r="I98" s="7">
        <f>-1*Table7[[#This Row],[-138030489769.0000]]</f>
        <v>16257671593</v>
      </c>
      <c r="J98" s="7">
        <v>-16257671593</v>
      </c>
      <c r="K98" s="7">
        <f>Table7[[#This Row],[Column7]]-Table7[[#This Row],[Column2]]</f>
        <v>948670979</v>
      </c>
    </row>
    <row r="99" spans="1:11" ht="23.1" customHeight="1" x14ac:dyDescent="0.6">
      <c r="A99" s="6" t="s">
        <v>344</v>
      </c>
      <c r="B99" s="7">
        <v>0</v>
      </c>
      <c r="C99" s="7">
        <v>0</v>
      </c>
      <c r="D99" s="7">
        <f>-1*Table7[[#This Row],[-153339638086.0000]]</f>
        <v>0</v>
      </c>
      <c r="E99" s="7">
        <v>0</v>
      </c>
      <c r="F99" s="7">
        <f>Table7[[#This Row],[202071777805.0000]]-Table7[[#This Row],[Column1]]</f>
        <v>0</v>
      </c>
      <c r="G99" s="7">
        <v>0</v>
      </c>
      <c r="H99" s="7">
        <v>172419701665</v>
      </c>
      <c r="I99" s="7">
        <f>-1*Table7[[#This Row],[-138030489769.0000]]</f>
        <v>0</v>
      </c>
      <c r="J99" s="7">
        <v>0</v>
      </c>
      <c r="K99" s="7">
        <v>172419701665</v>
      </c>
    </row>
    <row r="100" spans="1:11" ht="23.1" customHeight="1" x14ac:dyDescent="0.6">
      <c r="A100" s="6" t="s">
        <v>345</v>
      </c>
      <c r="B100" s="7">
        <v>0</v>
      </c>
      <c r="C100" s="7">
        <v>0</v>
      </c>
      <c r="D100" s="7">
        <f>-1*Table7[[#This Row],[-153339638086.0000]]</f>
        <v>0</v>
      </c>
      <c r="E100" s="7">
        <v>0</v>
      </c>
      <c r="F100" s="7">
        <f>Table7[[#This Row],[202071777805.0000]]-Table7[[#This Row],[Column1]]</f>
        <v>0</v>
      </c>
      <c r="G100" s="7">
        <v>0</v>
      </c>
      <c r="H100" s="7">
        <v>81745678602</v>
      </c>
      <c r="I100" s="7">
        <f>-1*Table7[[#This Row],[-138030489769.0000]]</f>
        <v>0</v>
      </c>
      <c r="J100" s="7">
        <v>0</v>
      </c>
      <c r="K100" s="7">
        <v>81745678602</v>
      </c>
    </row>
    <row r="101" spans="1:11" ht="23.1" customHeight="1" x14ac:dyDescent="0.6">
      <c r="A101" s="6" t="s">
        <v>275</v>
      </c>
      <c r="B101" s="7">
        <v>244896</v>
      </c>
      <c r="C101" s="7">
        <v>6225419327</v>
      </c>
      <c r="D101" s="7">
        <f>-1*Table7[[#This Row],[-153339638086.0000]]</f>
        <v>6055492289</v>
      </c>
      <c r="E101" s="7">
        <v>-6055492289</v>
      </c>
      <c r="F101" s="7">
        <f>Table7[[#This Row],[202071777805.0000]]-Table7[[#This Row],[Column1]]</f>
        <v>169927038</v>
      </c>
      <c r="G101" s="7">
        <v>244896</v>
      </c>
      <c r="H101" s="7">
        <v>6225419327</v>
      </c>
      <c r="I101" s="7">
        <f>-1*Table7[[#This Row],[-138030489769.0000]]</f>
        <v>6055492289</v>
      </c>
      <c r="J101" s="7">
        <v>-6055492289</v>
      </c>
      <c r="K101" s="7">
        <f>Table7[[#This Row],[Column7]]-Table7[[#This Row],[Column2]]</f>
        <v>169927038</v>
      </c>
    </row>
    <row r="102" spans="1:11" ht="23.1" customHeight="1" x14ac:dyDescent="0.6">
      <c r="A102" s="6" t="s">
        <v>346</v>
      </c>
      <c r="B102" s="7">
        <v>0</v>
      </c>
      <c r="C102" s="7">
        <v>0</v>
      </c>
      <c r="D102" s="7">
        <f>-1*Table7[[#This Row],[-153339638086.0000]]</f>
        <v>0</v>
      </c>
      <c r="E102" s="7">
        <v>0</v>
      </c>
      <c r="F102" s="7">
        <f>Table7[[#This Row],[202071777805.0000]]-Table7[[#This Row],[Column1]]</f>
        <v>0</v>
      </c>
      <c r="G102" s="7">
        <v>0</v>
      </c>
      <c r="H102" s="7">
        <v>57237750718</v>
      </c>
      <c r="I102" s="7">
        <f>-1*Table7[[#This Row],[-138030489769.0000]]</f>
        <v>0</v>
      </c>
      <c r="J102" s="7">
        <v>0</v>
      </c>
      <c r="K102" s="7">
        <v>57237750718</v>
      </c>
    </row>
    <row r="103" spans="1:11" ht="23.1" customHeight="1" thickBot="1" x14ac:dyDescent="0.65">
      <c r="A103" s="6" t="s">
        <v>178</v>
      </c>
      <c r="B103" s="7"/>
      <c r="C103" s="40">
        <f>SUM(C7:C102)</f>
        <v>78397251205394</v>
      </c>
      <c r="D103" s="40">
        <f>SUM(D7:D102)</f>
        <v>75426880871573</v>
      </c>
      <c r="E103" s="7">
        <f>SUM(E7:E102)</f>
        <v>-75426880871573</v>
      </c>
      <c r="F103" s="40">
        <f>SUM(F7:F102)</f>
        <v>2970370333821.002</v>
      </c>
      <c r="G103" s="7"/>
      <c r="H103" s="40">
        <f>SUM(H7:H102)</f>
        <v>78926225895412</v>
      </c>
      <c r="I103" s="40">
        <f>SUM(I7:I102)</f>
        <v>67192465518394</v>
      </c>
      <c r="J103" s="7">
        <f>SUM(J7:J102)</f>
        <v>-67192465518394</v>
      </c>
      <c r="K103" s="40">
        <f>SUM(K7:K102)</f>
        <v>11733760377018.002</v>
      </c>
    </row>
    <row r="104" spans="1:11" ht="23.25" thickTop="1" x14ac:dyDescent="0.6"/>
    <row r="106" spans="1:11" x14ac:dyDescent="0.6">
      <c r="K106" s="55"/>
    </row>
  </sheetData>
  <mergeCells count="6">
    <mergeCell ref="B5:F5"/>
    <mergeCell ref="G5:K5"/>
    <mergeCell ref="A4:E4"/>
    <mergeCell ref="A1:K1"/>
    <mergeCell ref="A2:K2"/>
    <mergeCell ref="A3:K3"/>
  </mergeCells>
  <pageMargins left="0.7" right="0.7" top="0.75" bottom="0.75" header="0.3" footer="0.3"/>
  <pageSetup paperSize="9" scale="69" orientation="landscape" r:id="rId1"/>
  <headerFooter differentOddEven="1" differentFirst="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1</vt:lpstr>
      <vt:lpstr> سهام و صندوق‌های سرمایه‌گذاری</vt:lpstr>
      <vt:lpstr>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و ص </vt:lpstr>
      <vt:lpstr>درآمد سرمایه گذاری در اوراق بها</vt:lpstr>
      <vt:lpstr>درآمد سپرده بانکی</vt:lpstr>
      <vt:lpstr>سایر درآمدها</vt:lpstr>
      <vt:lpstr>کفایت سرمایه</vt:lpstr>
      <vt:lpstr>' سهام و صندوق‌های سرمایه‌گذاری'!Print_Area</vt:lpstr>
      <vt:lpstr>'1'!Print_Area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Fanipoor</cp:lastModifiedBy>
  <cp:lastPrinted>2022-05-30T11:50:22Z</cp:lastPrinted>
  <dcterms:created xsi:type="dcterms:W3CDTF">2017-11-22T14:26:20Z</dcterms:created>
  <dcterms:modified xsi:type="dcterms:W3CDTF">2022-05-31T11:03:14Z</dcterms:modified>
</cp:coreProperties>
</file>